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UFR SEG\MASTER ESS\"/>
    </mc:Choice>
  </mc:AlternateContent>
  <workbookProtection workbookAlgorithmName="SHA-512" workbookHashValue="yGYXQY85fGNPrOnDq2yI4Pwo1DXUfW1fCsb1b2FjLyOjbSeMAOSD1hxtaI2ZN08drO4waSs/pK8eZmoBWdLFCg==" workbookSaltValue="EUH3tVbtWwnsrJdlqqopGQ==" workbookSpinCount="100000" lockStructure="1"/>
  <bookViews>
    <workbookView xWindow="0" yWindow="0" windowWidth="23040" windowHeight="8616" firstSheet="5" activeTab="5"/>
  </bookViews>
  <sheets>
    <sheet name="Référentiel accompagnement" sheetId="35" state="hidden" r:id="rId1"/>
    <sheet name="Mode opératoire" sheetId="30" state="hidden" r:id="rId2"/>
    <sheet name="Enseignements" sheetId="39" r:id="rId3"/>
    <sheet name="Recettes et simulat" sheetId="40" r:id="rId4"/>
    <sheet name="Paramétrage" sheetId="36" r:id="rId5"/>
    <sheet name="Budget détaillé" sheetId="41" r:id="rId6"/>
    <sheet name="Budget détaillé heures comp" sheetId="42" state="hidden" r:id="rId7"/>
  </sheets>
  <externalReferences>
    <externalReference r:id="rId8"/>
    <externalReference r:id="rId9"/>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8" i="39" l="1"/>
  <c r="X9" i="39"/>
  <c r="X10" i="39"/>
  <c r="X11" i="39"/>
  <c r="X12" i="39"/>
  <c r="X13" i="39"/>
  <c r="X14" i="39"/>
  <c r="X15" i="39"/>
  <c r="X16" i="39"/>
  <c r="X17" i="39"/>
  <c r="X18" i="39"/>
  <c r="X19" i="39"/>
  <c r="X20" i="39"/>
  <c r="X21" i="39"/>
  <c r="X22" i="39"/>
  <c r="X23" i="39"/>
  <c r="X24" i="39"/>
  <c r="X25" i="39"/>
  <c r="X26" i="39"/>
  <c r="X27" i="39"/>
  <c r="X28" i="39"/>
  <c r="X29" i="39"/>
  <c r="X30" i="39"/>
  <c r="X31" i="39"/>
  <c r="X32" i="39"/>
  <c r="O25" i="39"/>
  <c r="P25" i="39" s="1"/>
  <c r="O26" i="39"/>
  <c r="P26" i="39" s="1"/>
  <c r="O27" i="39"/>
  <c r="P27" i="39" s="1"/>
  <c r="O28" i="39"/>
  <c r="P28" i="39" s="1"/>
  <c r="O29" i="39"/>
  <c r="P29" i="39" s="1"/>
  <c r="O30" i="39"/>
  <c r="P30" i="39" s="1"/>
  <c r="O31" i="39"/>
  <c r="P31" i="39" s="1"/>
  <c r="O32" i="39"/>
  <c r="P32" i="39" s="1"/>
  <c r="K41" i="42" l="1"/>
  <c r="I38" i="42"/>
  <c r="I39" i="42"/>
  <c r="I40" i="42"/>
  <c r="I41" i="42"/>
  <c r="I42" i="42"/>
  <c r="I43" i="42"/>
  <c r="I44" i="42"/>
  <c r="I37" i="42"/>
  <c r="I36" i="42"/>
  <c r="G30" i="42"/>
  <c r="G31" i="42"/>
  <c r="G29" i="42"/>
  <c r="H19" i="42"/>
  <c r="H17" i="42"/>
  <c r="O72" i="42"/>
  <c r="N72" i="42"/>
  <c r="M72" i="42"/>
  <c r="L72" i="42"/>
  <c r="P70" i="42"/>
  <c r="P69" i="42"/>
  <c r="P64" i="42"/>
  <c r="O64" i="42"/>
  <c r="N64" i="42"/>
  <c r="M64" i="42"/>
  <c r="L64" i="42"/>
  <c r="P58" i="42"/>
  <c r="P57" i="42"/>
  <c r="P56" i="42"/>
  <c r="O55" i="42"/>
  <c r="N55" i="42"/>
  <c r="M55" i="42"/>
  <c r="L55" i="42"/>
  <c r="P54" i="42"/>
  <c r="P53" i="42"/>
  <c r="P52" i="42"/>
  <c r="P51" i="42"/>
  <c r="O50" i="42"/>
  <c r="O59" i="42" s="1"/>
  <c r="N50" i="42"/>
  <c r="N59" i="42" s="1"/>
  <c r="M50" i="42"/>
  <c r="M59" i="42" s="1"/>
  <c r="L50" i="42"/>
  <c r="L59" i="42" s="1"/>
  <c r="O49" i="42"/>
  <c r="N49" i="42"/>
  <c r="M49" i="42"/>
  <c r="L49" i="42"/>
  <c r="P44" i="42"/>
  <c r="P43" i="42"/>
  <c r="P42" i="42"/>
  <c r="P41" i="42"/>
  <c r="P40" i="42"/>
  <c r="P39" i="42"/>
  <c r="P38" i="42"/>
  <c r="P37" i="42"/>
  <c r="P36" i="42"/>
  <c r="O35" i="42"/>
  <c r="N35" i="42"/>
  <c r="M35" i="42"/>
  <c r="L35" i="42"/>
  <c r="O32" i="42"/>
  <c r="N32" i="42"/>
  <c r="M32" i="42"/>
  <c r="L32" i="42"/>
  <c r="P31" i="42"/>
  <c r="P30" i="42"/>
  <c r="P29" i="42"/>
  <c r="H29" i="42"/>
  <c r="U28" i="42"/>
  <c r="T28" i="42"/>
  <c r="S28" i="42"/>
  <c r="R28" i="42"/>
  <c r="O27" i="42"/>
  <c r="N27" i="42"/>
  <c r="M27" i="42"/>
  <c r="L27" i="42"/>
  <c r="P26" i="42"/>
  <c r="P25" i="42"/>
  <c r="P24" i="42"/>
  <c r="P23" i="42"/>
  <c r="P22" i="42"/>
  <c r="O20" i="42"/>
  <c r="N20" i="42"/>
  <c r="N14" i="42" s="1"/>
  <c r="M20" i="42"/>
  <c r="M14" i="42" s="1"/>
  <c r="L20" i="42"/>
  <c r="P19" i="42"/>
  <c r="P18" i="42"/>
  <c r="P17" i="42"/>
  <c r="P16" i="42"/>
  <c r="K8" i="42"/>
  <c r="J8" i="42"/>
  <c r="H7" i="42"/>
  <c r="E7" i="42"/>
  <c r="H6" i="42"/>
  <c r="D6" i="42"/>
  <c r="H5" i="42"/>
  <c r="D5" i="42"/>
  <c r="O14" i="42" l="1"/>
  <c r="L46" i="42"/>
  <c r="L62" i="42" s="1"/>
  <c r="L75" i="42" s="1"/>
  <c r="M46" i="42"/>
  <c r="P27" i="42"/>
  <c r="O46" i="42"/>
  <c r="O62" i="42" s="1"/>
  <c r="O75" i="42" s="1"/>
  <c r="P50" i="42"/>
  <c r="P55" i="42"/>
  <c r="G32" i="42"/>
  <c r="I29" i="42"/>
  <c r="P32" i="42"/>
  <c r="N46" i="42"/>
  <c r="N62" i="42" s="1"/>
  <c r="N75" i="42" s="1"/>
  <c r="P35" i="42"/>
  <c r="M62" i="42"/>
  <c r="M75" i="42" s="1"/>
  <c r="P72" i="42"/>
  <c r="P20" i="42"/>
  <c r="P14" i="42" s="1"/>
  <c r="L14" i="42"/>
  <c r="I35" i="42"/>
  <c r="I45" i="42" s="1"/>
  <c r="U29" i="42"/>
  <c r="R29" i="42"/>
  <c r="T29" i="42"/>
  <c r="S29" i="42"/>
  <c r="P46" i="42" l="1"/>
  <c r="P59" i="42"/>
  <c r="P62" i="42"/>
  <c r="P75" i="42"/>
  <c r="L64" i="41" l="1"/>
  <c r="M64" i="41"/>
  <c r="N64" i="41"/>
  <c r="O64" i="41"/>
  <c r="P64" i="41"/>
  <c r="G22" i="41"/>
  <c r="H22" i="41" l="1"/>
  <c r="G22" i="42"/>
  <c r="K8" i="41"/>
  <c r="J8" i="41"/>
  <c r="H7" i="41"/>
  <c r="E7" i="41"/>
  <c r="H6" i="41"/>
  <c r="D6" i="41"/>
  <c r="H5" i="41"/>
  <c r="D5" i="41"/>
  <c r="G19" i="41"/>
  <c r="G19" i="42" s="1"/>
  <c r="I19" i="42" s="1"/>
  <c r="G18" i="41"/>
  <c r="G18" i="42" s="1"/>
  <c r="I18" i="42" s="1"/>
  <c r="G16" i="41"/>
  <c r="G16" i="42" s="1"/>
  <c r="G17" i="41"/>
  <c r="G17" i="42" s="1"/>
  <c r="I17" i="42" s="1"/>
  <c r="X140" i="39"/>
  <c r="X139" i="39"/>
  <c r="X138" i="39"/>
  <c r="X137" i="39"/>
  <c r="X136" i="39"/>
  <c r="X135" i="39"/>
  <c r="X134" i="39"/>
  <c r="X133" i="39"/>
  <c r="X132" i="39"/>
  <c r="X131" i="39"/>
  <c r="X130" i="39"/>
  <c r="X129" i="39"/>
  <c r="X128" i="39"/>
  <c r="X127" i="39"/>
  <c r="X126" i="39"/>
  <c r="X125" i="39"/>
  <c r="X124" i="39"/>
  <c r="X123" i="39"/>
  <c r="X122" i="39"/>
  <c r="X121" i="39"/>
  <c r="X119" i="39"/>
  <c r="X118" i="39"/>
  <c r="X117" i="39"/>
  <c r="X116" i="39"/>
  <c r="X115" i="39"/>
  <c r="X114" i="39"/>
  <c r="X113" i="39"/>
  <c r="X112" i="39"/>
  <c r="X111" i="39"/>
  <c r="X110" i="39"/>
  <c r="X109" i="39"/>
  <c r="X108" i="39"/>
  <c r="X107" i="39"/>
  <c r="X106" i="39"/>
  <c r="X105" i="39"/>
  <c r="X104" i="39"/>
  <c r="X103" i="39"/>
  <c r="X102" i="39"/>
  <c r="X101" i="39"/>
  <c r="X100" i="39"/>
  <c r="X98" i="39"/>
  <c r="X97" i="39"/>
  <c r="X96" i="39"/>
  <c r="X95" i="39"/>
  <c r="X94" i="39"/>
  <c r="X93" i="39"/>
  <c r="X92" i="39"/>
  <c r="X91" i="39"/>
  <c r="X90" i="39"/>
  <c r="X89" i="39"/>
  <c r="X88" i="39"/>
  <c r="X87" i="39"/>
  <c r="X86" i="39"/>
  <c r="X85" i="39"/>
  <c r="X84" i="39"/>
  <c r="X83" i="39"/>
  <c r="X82" i="39"/>
  <c r="X81" i="39"/>
  <c r="X80" i="39"/>
  <c r="X79" i="39"/>
  <c r="X77" i="39"/>
  <c r="X76" i="39"/>
  <c r="X75" i="39"/>
  <c r="X74" i="39"/>
  <c r="X73" i="39"/>
  <c r="X72" i="39"/>
  <c r="X71" i="39"/>
  <c r="X70" i="39"/>
  <c r="X69" i="39"/>
  <c r="X68" i="39"/>
  <c r="X67" i="39"/>
  <c r="X66" i="39"/>
  <c r="X65" i="39"/>
  <c r="X64" i="39"/>
  <c r="X63" i="39"/>
  <c r="X62" i="39"/>
  <c r="X61" i="39"/>
  <c r="X60" i="39"/>
  <c r="X59" i="39"/>
  <c r="X58" i="39"/>
  <c r="X56" i="39"/>
  <c r="X55" i="39"/>
  <c r="X54" i="39"/>
  <c r="X53" i="39"/>
  <c r="X52" i="39"/>
  <c r="X51" i="39"/>
  <c r="X50" i="39"/>
  <c r="X49" i="39"/>
  <c r="X48" i="39"/>
  <c r="X47" i="39"/>
  <c r="X46" i="39"/>
  <c r="X45" i="39"/>
  <c r="X44" i="39"/>
  <c r="X43" i="39"/>
  <c r="X42" i="39"/>
  <c r="X41" i="39"/>
  <c r="X40" i="39"/>
  <c r="X39" i="39"/>
  <c r="X38" i="39"/>
  <c r="X37" i="39"/>
  <c r="G25" i="41" s="1"/>
  <c r="G26" i="41"/>
  <c r="X34" i="39"/>
  <c r="X35" i="39"/>
  <c r="X7" i="39"/>
  <c r="V142" i="39"/>
  <c r="W142" i="39"/>
  <c r="U143" i="39"/>
  <c r="V143" i="39"/>
  <c r="W143" i="39"/>
  <c r="X143" i="39"/>
  <c r="T143" i="39"/>
  <c r="X144" i="39"/>
  <c r="X142" i="39" l="1"/>
  <c r="G24" i="42"/>
  <c r="H24" i="42" s="1"/>
  <c r="I24" i="42" s="1"/>
  <c r="H26" i="41"/>
  <c r="G26" i="42"/>
  <c r="H26" i="42" s="1"/>
  <c r="I26" i="42" s="1"/>
  <c r="G23" i="42"/>
  <c r="H23" i="42" s="1"/>
  <c r="I23" i="42" s="1"/>
  <c r="H25" i="41"/>
  <c r="G25" i="42"/>
  <c r="H25" i="42" s="1"/>
  <c r="I25" i="42" s="1"/>
  <c r="T17" i="42"/>
  <c r="U17" i="42"/>
  <c r="R17" i="42"/>
  <c r="S17" i="42"/>
  <c r="G20" i="42"/>
  <c r="I16" i="42"/>
  <c r="S18" i="42"/>
  <c r="U18" i="42"/>
  <c r="T18" i="42"/>
  <c r="R18" i="42"/>
  <c r="H22" i="42"/>
  <c r="I22" i="42" s="1"/>
  <c r="Q19" i="42"/>
  <c r="V19" i="42" s="1"/>
  <c r="S19" i="42"/>
  <c r="T19" i="42"/>
  <c r="U19" i="42"/>
  <c r="R19" i="42"/>
  <c r="O140" i="39"/>
  <c r="O139" i="39"/>
  <c r="O138" i="39"/>
  <c r="O137" i="39"/>
  <c r="O136" i="39"/>
  <c r="O135" i="39"/>
  <c r="O134" i="39"/>
  <c r="O133" i="39"/>
  <c r="O132" i="39"/>
  <c r="O131" i="39"/>
  <c r="O130" i="39"/>
  <c r="O129" i="39"/>
  <c r="O128" i="39"/>
  <c r="O127" i="39"/>
  <c r="O126" i="39"/>
  <c r="O125" i="39"/>
  <c r="O124" i="39"/>
  <c r="O123" i="39"/>
  <c r="O122" i="39"/>
  <c r="O121" i="39"/>
  <c r="O119" i="39"/>
  <c r="O118" i="39"/>
  <c r="O117" i="39"/>
  <c r="O116" i="39"/>
  <c r="O115" i="39"/>
  <c r="O114" i="39"/>
  <c r="O113" i="39"/>
  <c r="O112" i="39"/>
  <c r="O111" i="39"/>
  <c r="O110" i="39"/>
  <c r="O109" i="39"/>
  <c r="O108" i="39"/>
  <c r="O107" i="39"/>
  <c r="O106" i="39"/>
  <c r="O105" i="39"/>
  <c r="O104" i="39"/>
  <c r="O103" i="39"/>
  <c r="O102" i="39"/>
  <c r="O101" i="39"/>
  <c r="O100" i="39"/>
  <c r="O98" i="39"/>
  <c r="O97" i="39"/>
  <c r="O96" i="39"/>
  <c r="O95" i="39"/>
  <c r="O94" i="39"/>
  <c r="O93" i="39"/>
  <c r="O92" i="39"/>
  <c r="O91" i="39"/>
  <c r="O90" i="39"/>
  <c r="O89" i="39"/>
  <c r="O88" i="39"/>
  <c r="O87" i="39"/>
  <c r="O86" i="39"/>
  <c r="O85" i="39"/>
  <c r="O84" i="39"/>
  <c r="O83" i="39"/>
  <c r="O82" i="39"/>
  <c r="O81" i="39"/>
  <c r="O80" i="39"/>
  <c r="O79" i="39"/>
  <c r="O77" i="39"/>
  <c r="O76" i="39"/>
  <c r="O75" i="39"/>
  <c r="O74" i="39"/>
  <c r="O73" i="39"/>
  <c r="O72" i="39"/>
  <c r="O71" i="39"/>
  <c r="O70" i="39"/>
  <c r="O69" i="39"/>
  <c r="O68" i="39"/>
  <c r="O67" i="39"/>
  <c r="O66" i="39"/>
  <c r="O65" i="39"/>
  <c r="O64" i="39"/>
  <c r="O63" i="39"/>
  <c r="O62" i="39"/>
  <c r="O61" i="39"/>
  <c r="O60" i="39"/>
  <c r="O59" i="39"/>
  <c r="O58" i="39"/>
  <c r="O56" i="39"/>
  <c r="O55" i="39"/>
  <c r="O54" i="39"/>
  <c r="O53" i="39"/>
  <c r="O52" i="39"/>
  <c r="O51" i="39"/>
  <c r="O50" i="39"/>
  <c r="O49" i="39"/>
  <c r="O48" i="39"/>
  <c r="O47" i="39"/>
  <c r="O46" i="39"/>
  <c r="O45" i="39"/>
  <c r="O44" i="39"/>
  <c r="O43" i="39"/>
  <c r="O42" i="39"/>
  <c r="O41" i="39"/>
  <c r="O40" i="39"/>
  <c r="O39" i="39"/>
  <c r="O38" i="39"/>
  <c r="O37" i="39"/>
  <c r="O8" i="39"/>
  <c r="P8" i="39" s="1"/>
  <c r="O9" i="39"/>
  <c r="P9" i="39" s="1"/>
  <c r="O10" i="39"/>
  <c r="P10" i="39" s="1"/>
  <c r="O11" i="39"/>
  <c r="P11" i="39" s="1"/>
  <c r="O12" i="39"/>
  <c r="P12" i="39" s="1"/>
  <c r="O13" i="39"/>
  <c r="P13" i="39" s="1"/>
  <c r="O14" i="39"/>
  <c r="P14" i="39" s="1"/>
  <c r="O15" i="39"/>
  <c r="P15" i="39" s="1"/>
  <c r="O16" i="39"/>
  <c r="P16" i="39" s="1"/>
  <c r="O17" i="39"/>
  <c r="P17" i="39" s="1"/>
  <c r="O18" i="39"/>
  <c r="P18" i="39" s="1"/>
  <c r="O19" i="39"/>
  <c r="P19" i="39" s="1"/>
  <c r="O20" i="39"/>
  <c r="P20" i="39" s="1"/>
  <c r="O21" i="39"/>
  <c r="P21" i="39" s="1"/>
  <c r="O22" i="39"/>
  <c r="P22" i="39" s="1"/>
  <c r="O23" i="39"/>
  <c r="P23" i="39" s="1"/>
  <c r="O24" i="39"/>
  <c r="P24" i="39" s="1"/>
  <c r="O34" i="39"/>
  <c r="O35" i="39"/>
  <c r="O7" i="39"/>
  <c r="I20" i="42" l="1"/>
  <c r="H20" i="42" s="1"/>
  <c r="U16" i="42"/>
  <c r="R16" i="42"/>
  <c r="T16" i="42"/>
  <c r="S16" i="42"/>
  <c r="G27" i="42"/>
  <c r="G14" i="42" s="1"/>
  <c r="R23" i="42"/>
  <c r="U23" i="42"/>
  <c r="T23" i="42"/>
  <c r="S23" i="42"/>
  <c r="Q23" i="42"/>
  <c r="V23" i="42" s="1"/>
  <c r="I27" i="42"/>
  <c r="Q22" i="42"/>
  <c r="V22" i="42" s="1"/>
  <c r="U22" i="42"/>
  <c r="R22" i="42"/>
  <c r="S22" i="42"/>
  <c r="T22" i="42"/>
  <c r="U26" i="42"/>
  <c r="S26" i="42"/>
  <c r="T26" i="42"/>
  <c r="R26" i="42"/>
  <c r="K25" i="42"/>
  <c r="J25" i="42" s="1"/>
  <c r="Q25" i="42" s="1"/>
  <c r="V25" i="42" s="1"/>
  <c r="U25" i="42"/>
  <c r="T25" i="42"/>
  <c r="R25" i="42"/>
  <c r="S25" i="42"/>
  <c r="Q24" i="42"/>
  <c r="V24" i="42" s="1"/>
  <c r="J24" i="42"/>
  <c r="R24" i="42"/>
  <c r="U24" i="42"/>
  <c r="S24" i="42"/>
  <c r="T24" i="42"/>
  <c r="X6" i="39"/>
  <c r="W6" i="39"/>
  <c r="V6" i="39"/>
  <c r="U6" i="39"/>
  <c r="T6" i="39"/>
  <c r="O72" i="41"/>
  <c r="N72" i="41"/>
  <c r="M72" i="41"/>
  <c r="L72" i="41"/>
  <c r="P70" i="41"/>
  <c r="P69" i="41"/>
  <c r="P58" i="41"/>
  <c r="P57" i="41"/>
  <c r="P56" i="41"/>
  <c r="O55" i="41"/>
  <c r="N55" i="41"/>
  <c r="M55" i="41"/>
  <c r="L55" i="41"/>
  <c r="P54" i="41"/>
  <c r="P53" i="41"/>
  <c r="P52" i="41"/>
  <c r="P51" i="41"/>
  <c r="O50" i="41"/>
  <c r="O59" i="41" s="1"/>
  <c r="N50" i="41"/>
  <c r="M50" i="41"/>
  <c r="M59" i="41" s="1"/>
  <c r="L50" i="41"/>
  <c r="L59" i="41" s="1"/>
  <c r="O49" i="41"/>
  <c r="N49" i="41"/>
  <c r="M49" i="41"/>
  <c r="L49" i="41"/>
  <c r="P44" i="41"/>
  <c r="P43" i="41"/>
  <c r="P42" i="41"/>
  <c r="K42" i="41"/>
  <c r="P41" i="41"/>
  <c r="J41" i="41"/>
  <c r="J41" i="42" s="1"/>
  <c r="P40" i="41"/>
  <c r="P39" i="41"/>
  <c r="P38" i="41"/>
  <c r="P37" i="41"/>
  <c r="P36" i="41"/>
  <c r="O35" i="41"/>
  <c r="N35" i="41"/>
  <c r="M35" i="41"/>
  <c r="L35" i="41"/>
  <c r="I35" i="41"/>
  <c r="O32" i="41"/>
  <c r="N32" i="41"/>
  <c r="M32" i="41"/>
  <c r="L32" i="41"/>
  <c r="G32" i="41"/>
  <c r="P31" i="41"/>
  <c r="P30" i="41"/>
  <c r="P29" i="41"/>
  <c r="H29" i="41"/>
  <c r="I29" i="41" s="1"/>
  <c r="U28" i="41"/>
  <c r="T28" i="41"/>
  <c r="S28" i="41"/>
  <c r="R28" i="41"/>
  <c r="O27" i="41"/>
  <c r="N27" i="41"/>
  <c r="M27" i="41"/>
  <c r="L27" i="41"/>
  <c r="P26" i="41"/>
  <c r="I26" i="41"/>
  <c r="P25" i="41"/>
  <c r="P24" i="41"/>
  <c r="I24" i="41"/>
  <c r="P23" i="41"/>
  <c r="I23" i="41"/>
  <c r="P22" i="41"/>
  <c r="I22" i="41"/>
  <c r="O20" i="41"/>
  <c r="N20" i="41"/>
  <c r="M20" i="41"/>
  <c r="L20" i="41"/>
  <c r="P19" i="41"/>
  <c r="I19" i="41"/>
  <c r="P18" i="41"/>
  <c r="P17" i="41"/>
  <c r="P16" i="41"/>
  <c r="F39" i="40"/>
  <c r="K28" i="40"/>
  <c r="H28" i="40"/>
  <c r="F28" i="40"/>
  <c r="K27" i="40"/>
  <c r="H27" i="40"/>
  <c r="G27" i="40"/>
  <c r="J27" i="40" s="1"/>
  <c r="K26" i="40"/>
  <c r="H26" i="40"/>
  <c r="G26" i="40"/>
  <c r="J26" i="40" s="1"/>
  <c r="K25" i="40"/>
  <c r="H25" i="40"/>
  <c r="G25" i="40"/>
  <c r="J25" i="40" s="1"/>
  <c r="K24" i="40"/>
  <c r="H24" i="40"/>
  <c r="G24" i="40"/>
  <c r="J24" i="40" s="1"/>
  <c r="K23" i="40"/>
  <c r="H23" i="40"/>
  <c r="G23" i="40"/>
  <c r="J23" i="40" s="1"/>
  <c r="K22" i="40"/>
  <c r="H22" i="40"/>
  <c r="G22" i="40"/>
  <c r="J22" i="40" s="1"/>
  <c r="K21" i="40"/>
  <c r="H21" i="40"/>
  <c r="G21" i="40"/>
  <c r="J21" i="40" s="1"/>
  <c r="K20" i="40"/>
  <c r="H20" i="40"/>
  <c r="G20" i="40"/>
  <c r="J20" i="40" s="1"/>
  <c r="K19" i="40"/>
  <c r="H19" i="40"/>
  <c r="G19" i="40"/>
  <c r="J19" i="40" s="1"/>
  <c r="K18" i="40"/>
  <c r="H18" i="40"/>
  <c r="G18" i="40"/>
  <c r="S140" i="39"/>
  <c r="P140" i="39"/>
  <c r="R140" i="39" s="1"/>
  <c r="S139" i="39"/>
  <c r="P139" i="39"/>
  <c r="R139" i="39" s="1"/>
  <c r="S138" i="39"/>
  <c r="P138" i="39"/>
  <c r="R138" i="39" s="1"/>
  <c r="S137" i="39"/>
  <c r="P137" i="39"/>
  <c r="R137" i="39" s="1"/>
  <c r="S136" i="39"/>
  <c r="P136" i="39"/>
  <c r="R136" i="39" s="1"/>
  <c r="S135" i="39"/>
  <c r="P135" i="39"/>
  <c r="R135" i="39" s="1"/>
  <c r="S134" i="39"/>
  <c r="P134" i="39"/>
  <c r="R134" i="39" s="1"/>
  <c r="S133" i="39"/>
  <c r="P133" i="39"/>
  <c r="R133" i="39" s="1"/>
  <c r="S132" i="39"/>
  <c r="P132" i="39"/>
  <c r="R132" i="39" s="1"/>
  <c r="S131" i="39"/>
  <c r="P131" i="39"/>
  <c r="R131" i="39" s="1"/>
  <c r="S130" i="39"/>
  <c r="P130" i="39"/>
  <c r="R130" i="39" s="1"/>
  <c r="S129" i="39"/>
  <c r="P129" i="39"/>
  <c r="R129" i="39" s="1"/>
  <c r="S128" i="39"/>
  <c r="P128" i="39"/>
  <c r="R128" i="39" s="1"/>
  <c r="S127" i="39"/>
  <c r="P127" i="39"/>
  <c r="R127" i="39" s="1"/>
  <c r="S126" i="39"/>
  <c r="P126" i="39"/>
  <c r="R126" i="39" s="1"/>
  <c r="S125" i="39"/>
  <c r="P125" i="39"/>
  <c r="R125" i="39" s="1"/>
  <c r="S124" i="39"/>
  <c r="P124" i="39"/>
  <c r="R124" i="39" s="1"/>
  <c r="S123" i="39"/>
  <c r="P123" i="39"/>
  <c r="R123" i="39" s="1"/>
  <c r="S122" i="39"/>
  <c r="P122" i="39"/>
  <c r="R122" i="39" s="1"/>
  <c r="S121" i="39"/>
  <c r="P121" i="39"/>
  <c r="R121" i="39" s="1"/>
  <c r="AB123" i="39"/>
  <c r="AC123" i="39"/>
  <c r="AB124" i="39"/>
  <c r="AC124" i="39"/>
  <c r="AB125" i="39"/>
  <c r="AC125" i="39"/>
  <c r="AB126" i="39"/>
  <c r="AC126" i="39"/>
  <c r="AB127" i="39"/>
  <c r="AC127" i="39"/>
  <c r="AB128" i="39"/>
  <c r="AC128" i="39"/>
  <c r="AB129" i="39"/>
  <c r="AC129" i="39"/>
  <c r="AB130" i="39"/>
  <c r="AC130" i="39"/>
  <c r="AB131" i="39"/>
  <c r="AC131" i="39"/>
  <c r="AB132" i="39"/>
  <c r="AC132" i="39"/>
  <c r="AB133" i="39"/>
  <c r="AC133" i="39"/>
  <c r="AB134" i="39"/>
  <c r="AC134" i="39"/>
  <c r="AB135" i="39"/>
  <c r="AC135" i="39"/>
  <c r="AB136" i="39"/>
  <c r="AC136" i="39"/>
  <c r="AB137" i="39"/>
  <c r="AC137" i="39"/>
  <c r="L14" i="41" l="1"/>
  <c r="G28" i="40"/>
  <c r="K70" i="42"/>
  <c r="I70" i="42" s="1"/>
  <c r="K70" i="41"/>
  <c r="I70" i="41" s="1"/>
  <c r="J42" i="41"/>
  <c r="J42" i="42" s="1"/>
  <c r="K42" i="42"/>
  <c r="G16" i="40"/>
  <c r="J69" i="41" s="1"/>
  <c r="J72" i="41" s="1"/>
  <c r="E8" i="42"/>
  <c r="E8" i="41"/>
  <c r="J18" i="40"/>
  <c r="J28" i="40" s="1"/>
  <c r="H27" i="42"/>
  <c r="H31" i="42"/>
  <c r="I31" i="42" s="1"/>
  <c r="H30" i="42"/>
  <c r="I30" i="42" s="1"/>
  <c r="P55" i="41"/>
  <c r="P72" i="41"/>
  <c r="O14" i="41"/>
  <c r="M14" i="41"/>
  <c r="P35" i="41"/>
  <c r="N59" i="41"/>
  <c r="P20" i="41"/>
  <c r="N14" i="41"/>
  <c r="P27" i="41"/>
  <c r="L46" i="41"/>
  <c r="L62" i="41" s="1"/>
  <c r="L75" i="41" s="1"/>
  <c r="P32" i="41"/>
  <c r="M46" i="41"/>
  <c r="M62" i="41" s="1"/>
  <c r="M75" i="41" s="1"/>
  <c r="P50" i="41"/>
  <c r="N46" i="41"/>
  <c r="K22" i="41"/>
  <c r="J22" i="41" s="1"/>
  <c r="O46" i="41"/>
  <c r="O62" i="41" s="1"/>
  <c r="O75" i="41" s="1"/>
  <c r="G20" i="41"/>
  <c r="K26" i="41"/>
  <c r="J26" i="41" s="1"/>
  <c r="Q26" i="41" s="1"/>
  <c r="K23" i="41"/>
  <c r="J23" i="41" s="1"/>
  <c r="Q23" i="41" s="1"/>
  <c r="I16" i="41"/>
  <c r="J24" i="41"/>
  <c r="Q24" i="41" s="1"/>
  <c r="Q22" i="41"/>
  <c r="I18" i="41"/>
  <c r="K18" i="41" s="1"/>
  <c r="K40" i="41"/>
  <c r="K43" i="41"/>
  <c r="H51" i="41"/>
  <c r="G27" i="41"/>
  <c r="I17" i="41"/>
  <c r="K17" i="41" s="1"/>
  <c r="K19" i="41"/>
  <c r="J19" i="41" s="1"/>
  <c r="K29" i="41"/>
  <c r="J29" i="41" s="1"/>
  <c r="Q29" i="41" s="1"/>
  <c r="K44" i="41"/>
  <c r="I25" i="41"/>
  <c r="K36" i="41"/>
  <c r="K36" i="42" s="1"/>
  <c r="K39" i="41"/>
  <c r="I45" i="41"/>
  <c r="Q19" i="41"/>
  <c r="K37" i="41"/>
  <c r="I51" i="41" l="1"/>
  <c r="I51" i="42" s="1"/>
  <c r="H51" i="42"/>
  <c r="J69" i="42"/>
  <c r="J72" i="42" s="1"/>
  <c r="K69" i="42"/>
  <c r="K72" i="42" s="1"/>
  <c r="K73" i="42" s="1"/>
  <c r="K69" i="41"/>
  <c r="K29" i="42"/>
  <c r="J29" i="42" s="1"/>
  <c r="Q29" i="42" s="1"/>
  <c r="V29" i="42" s="1"/>
  <c r="K17" i="42"/>
  <c r="J17" i="42" s="1"/>
  <c r="Q17" i="42" s="1"/>
  <c r="V17" i="42" s="1"/>
  <c r="K18" i="42"/>
  <c r="J18" i="42" s="1"/>
  <c r="Q18" i="42" s="1"/>
  <c r="V18" i="42" s="1"/>
  <c r="K19" i="42"/>
  <c r="J19" i="42" s="1"/>
  <c r="K16" i="42"/>
  <c r="K23" i="42"/>
  <c r="J23" i="42" s="1"/>
  <c r="K26" i="42"/>
  <c r="J26" i="42" s="1"/>
  <c r="Q26" i="42" s="1"/>
  <c r="V26" i="42" s="1"/>
  <c r="K22" i="42"/>
  <c r="K38" i="41"/>
  <c r="K35" i="41" s="1"/>
  <c r="K45" i="41" s="1"/>
  <c r="I33" i="41"/>
  <c r="J38" i="41"/>
  <c r="J38" i="42" s="1"/>
  <c r="J37" i="41"/>
  <c r="J37" i="42" s="1"/>
  <c r="K37" i="42"/>
  <c r="J44" i="41"/>
  <c r="J44" i="42" s="1"/>
  <c r="K44" i="42"/>
  <c r="J43" i="41"/>
  <c r="J43" i="42" s="1"/>
  <c r="K43" i="42"/>
  <c r="J39" i="41"/>
  <c r="J39" i="42" s="1"/>
  <c r="K39" i="42"/>
  <c r="J40" i="41"/>
  <c r="J40" i="42" s="1"/>
  <c r="K40" i="42"/>
  <c r="S31" i="42"/>
  <c r="U31" i="42"/>
  <c r="Q31" i="42"/>
  <c r="V31" i="42" s="1"/>
  <c r="R31" i="42"/>
  <c r="T31" i="42"/>
  <c r="K31" i="42"/>
  <c r="J31" i="42" s="1"/>
  <c r="I32" i="42"/>
  <c r="T30" i="42"/>
  <c r="K30" i="42"/>
  <c r="J30" i="42" s="1"/>
  <c r="Q30" i="42" s="1"/>
  <c r="S30" i="42"/>
  <c r="R30" i="42"/>
  <c r="U30" i="42"/>
  <c r="N62" i="41"/>
  <c r="N75" i="41" s="1"/>
  <c r="P46" i="41"/>
  <c r="P59" i="41"/>
  <c r="K16" i="41"/>
  <c r="K20" i="41" s="1"/>
  <c r="P14" i="41"/>
  <c r="K25" i="41"/>
  <c r="K27" i="41" s="1"/>
  <c r="J17" i="41"/>
  <c r="Q17" i="41" s="1"/>
  <c r="I20" i="41"/>
  <c r="H20" i="41" s="1"/>
  <c r="J18" i="41"/>
  <c r="Q18" i="41" s="1"/>
  <c r="J36" i="41"/>
  <c r="I27" i="41"/>
  <c r="H27" i="41" s="1"/>
  <c r="G14" i="41"/>
  <c r="P62" i="41" l="1"/>
  <c r="P75" i="41" s="1"/>
  <c r="K38" i="42"/>
  <c r="K35" i="42" s="1"/>
  <c r="H14" i="42"/>
  <c r="H32" i="42"/>
  <c r="I69" i="42"/>
  <c r="I72" i="42" s="1"/>
  <c r="K51" i="41"/>
  <c r="K51" i="42" s="1"/>
  <c r="K20" i="42"/>
  <c r="Q20" i="42" s="1"/>
  <c r="J16" i="42"/>
  <c r="I69" i="41"/>
  <c r="I72" i="41" s="1"/>
  <c r="K72" i="41"/>
  <c r="J22" i="42"/>
  <c r="J27" i="42" s="1"/>
  <c r="K27" i="42"/>
  <c r="Q27" i="42" s="1"/>
  <c r="J35" i="41"/>
  <c r="J45" i="41" s="1"/>
  <c r="J36" i="42"/>
  <c r="J35" i="42" s="1"/>
  <c r="J45" i="42" s="1"/>
  <c r="J32" i="42"/>
  <c r="I46" i="42"/>
  <c r="I47" i="42" s="1"/>
  <c r="I34" i="42"/>
  <c r="I14" i="42"/>
  <c r="V30" i="42"/>
  <c r="K32" i="42"/>
  <c r="Q32" i="42" s="1"/>
  <c r="J16" i="41"/>
  <c r="Q16" i="41" s="1"/>
  <c r="H31" i="41"/>
  <c r="I31" i="41" s="1"/>
  <c r="I30" i="41"/>
  <c r="J25" i="41"/>
  <c r="K45" i="42" l="1"/>
  <c r="Q35" i="42"/>
  <c r="J51" i="41"/>
  <c r="J51" i="42" s="1"/>
  <c r="Q27" i="41"/>
  <c r="Q35" i="41"/>
  <c r="Q20" i="41"/>
  <c r="K34" i="42"/>
  <c r="J20" i="42"/>
  <c r="J34" i="42" s="1"/>
  <c r="Q16" i="42"/>
  <c r="J27" i="41"/>
  <c r="Q25" i="41"/>
  <c r="K14" i="42"/>
  <c r="Q14" i="42" s="1"/>
  <c r="K46" i="42"/>
  <c r="J20" i="41"/>
  <c r="K31" i="41"/>
  <c r="J31" i="41" s="1"/>
  <c r="K30" i="41"/>
  <c r="Q31" i="41"/>
  <c r="I32" i="41"/>
  <c r="H32" i="41" s="1"/>
  <c r="K47" i="42" l="1"/>
  <c r="Q46" i="42"/>
  <c r="V16" i="42"/>
  <c r="K33" i="42" s="1"/>
  <c r="J33" i="42"/>
  <c r="J14" i="42"/>
  <c r="J46" i="42"/>
  <c r="J47" i="42" s="1"/>
  <c r="K32" i="41"/>
  <c r="Q32" i="41" s="1"/>
  <c r="I46" i="41"/>
  <c r="I47" i="41" s="1"/>
  <c r="I34" i="41"/>
  <c r="H14" i="41"/>
  <c r="I14" i="41"/>
  <c r="J30" i="41"/>
  <c r="J32" i="41" l="1"/>
  <c r="J34" i="41" s="1"/>
  <c r="Q30" i="41"/>
  <c r="J33" i="41" s="1"/>
  <c r="K33" i="41" s="1"/>
  <c r="K14" i="41"/>
  <c r="Q14" i="41" s="1"/>
  <c r="K34" i="41"/>
  <c r="I33" i="42"/>
  <c r="K46" i="41"/>
  <c r="J14" i="41" l="1"/>
  <c r="J46" i="41"/>
  <c r="K47" i="41"/>
  <c r="Q46" i="41"/>
  <c r="J47" i="41"/>
  <c r="J10" i="40" l="1"/>
  <c r="J9" i="40"/>
  <c r="M9" i="40"/>
  <c r="E9" i="40" l="1"/>
  <c r="E10" i="40" s="1"/>
  <c r="P102" i="39" l="1"/>
  <c r="R102" i="39" s="1"/>
  <c r="S102" i="39"/>
  <c r="AB102" i="39"/>
  <c r="AC102" i="39"/>
  <c r="P103" i="39"/>
  <c r="R103" i="39" s="1"/>
  <c r="S103" i="39"/>
  <c r="AB103" i="39"/>
  <c r="AC103" i="39"/>
  <c r="P104" i="39"/>
  <c r="R104" i="39" s="1"/>
  <c r="S104" i="39"/>
  <c r="AB104" i="39"/>
  <c r="AC104" i="39"/>
  <c r="P105" i="39"/>
  <c r="R105" i="39" s="1"/>
  <c r="S105" i="39"/>
  <c r="AB105" i="39"/>
  <c r="AC105" i="39"/>
  <c r="P106" i="39"/>
  <c r="R106" i="39" s="1"/>
  <c r="S106" i="39"/>
  <c r="AB106" i="39"/>
  <c r="AC106" i="39"/>
  <c r="P107" i="39"/>
  <c r="R107" i="39" s="1"/>
  <c r="S107" i="39"/>
  <c r="AB107" i="39"/>
  <c r="AC107" i="39"/>
  <c r="P108" i="39"/>
  <c r="R108" i="39" s="1"/>
  <c r="S108" i="39"/>
  <c r="AB108" i="39"/>
  <c r="AC108" i="39"/>
  <c r="P109" i="39"/>
  <c r="R109" i="39" s="1"/>
  <c r="S109" i="39"/>
  <c r="AB109" i="39"/>
  <c r="AC109" i="39"/>
  <c r="P110" i="39"/>
  <c r="R110" i="39" s="1"/>
  <c r="S110" i="39"/>
  <c r="AB110" i="39"/>
  <c r="AC110" i="39"/>
  <c r="P111" i="39"/>
  <c r="R111" i="39" s="1"/>
  <c r="S111" i="39"/>
  <c r="AB111" i="39"/>
  <c r="AC111" i="39"/>
  <c r="P112" i="39"/>
  <c r="R112" i="39" s="1"/>
  <c r="S112" i="39"/>
  <c r="AB112" i="39"/>
  <c r="AC112" i="39"/>
  <c r="P113" i="39"/>
  <c r="R113" i="39" s="1"/>
  <c r="S113" i="39"/>
  <c r="AB113" i="39"/>
  <c r="AC113" i="39"/>
  <c r="AC94" i="39"/>
  <c r="AB94" i="39"/>
  <c r="P94" i="39"/>
  <c r="S94" i="39" s="1"/>
  <c r="AC93" i="39"/>
  <c r="AB93" i="39"/>
  <c r="P93" i="39"/>
  <c r="S93" i="39" s="1"/>
  <c r="AC92" i="39"/>
  <c r="AB92" i="39"/>
  <c r="P92" i="39"/>
  <c r="S92" i="39" s="1"/>
  <c r="AC91" i="39"/>
  <c r="AB91" i="39"/>
  <c r="S91" i="39"/>
  <c r="P91" i="39"/>
  <c r="R91" i="39" s="1"/>
  <c r="AC90" i="39"/>
  <c r="AB90" i="39"/>
  <c r="P90" i="39"/>
  <c r="S90" i="39" s="1"/>
  <c r="AC89" i="39"/>
  <c r="AB89" i="39"/>
  <c r="P89" i="39"/>
  <c r="S89" i="39" s="1"/>
  <c r="AC88" i="39"/>
  <c r="AB88" i="39"/>
  <c r="P88" i="39"/>
  <c r="S88" i="39" s="1"/>
  <c r="AC87" i="39"/>
  <c r="AB87" i="39"/>
  <c r="S87" i="39"/>
  <c r="P87" i="39"/>
  <c r="R87" i="39" s="1"/>
  <c r="AC86" i="39"/>
  <c r="AB86" i="39"/>
  <c r="P86" i="39"/>
  <c r="S86" i="39" s="1"/>
  <c r="AC85" i="39"/>
  <c r="AB85" i="39"/>
  <c r="P85" i="39"/>
  <c r="S85" i="39" s="1"/>
  <c r="AC84" i="39"/>
  <c r="AB84" i="39"/>
  <c r="P84" i="39"/>
  <c r="S84" i="39" s="1"/>
  <c r="AC83" i="39"/>
  <c r="AB83" i="39"/>
  <c r="S83" i="39"/>
  <c r="P83" i="39"/>
  <c r="R83" i="39" s="1"/>
  <c r="AC82" i="39"/>
  <c r="AB82" i="39"/>
  <c r="P82" i="39"/>
  <c r="S82" i="39" s="1"/>
  <c r="P60" i="39"/>
  <c r="R60" i="39" s="1"/>
  <c r="S60" i="39"/>
  <c r="AB60" i="39"/>
  <c r="AC60" i="39"/>
  <c r="P61" i="39"/>
  <c r="R61" i="39" s="1"/>
  <c r="S61" i="39"/>
  <c r="AB61" i="39"/>
  <c r="AC61" i="39"/>
  <c r="P62" i="39"/>
  <c r="R62" i="39" s="1"/>
  <c r="S62" i="39"/>
  <c r="AB62" i="39"/>
  <c r="AC62" i="39"/>
  <c r="P63" i="39"/>
  <c r="R63" i="39" s="1"/>
  <c r="S63" i="39"/>
  <c r="AB63" i="39"/>
  <c r="AC63" i="39"/>
  <c r="P64" i="39"/>
  <c r="R64" i="39" s="1"/>
  <c r="S64" i="39"/>
  <c r="AB64" i="39"/>
  <c r="AC64" i="39"/>
  <c r="P65" i="39"/>
  <c r="R65" i="39" s="1"/>
  <c r="S65" i="39"/>
  <c r="AB65" i="39"/>
  <c r="AC65" i="39"/>
  <c r="P66" i="39"/>
  <c r="R66" i="39" s="1"/>
  <c r="S66" i="39"/>
  <c r="AB66" i="39"/>
  <c r="AC66" i="39"/>
  <c r="P67" i="39"/>
  <c r="R67" i="39" s="1"/>
  <c r="S67" i="39"/>
  <c r="AB67" i="39"/>
  <c r="AC67" i="39"/>
  <c r="P68" i="39"/>
  <c r="R68" i="39" s="1"/>
  <c r="S68" i="39"/>
  <c r="AB68" i="39"/>
  <c r="AC68" i="39"/>
  <c r="P69" i="39"/>
  <c r="R69" i="39" s="1"/>
  <c r="S69" i="39"/>
  <c r="AB69" i="39"/>
  <c r="AC69" i="39"/>
  <c r="P70" i="39"/>
  <c r="R70" i="39" s="1"/>
  <c r="S70" i="39"/>
  <c r="AB70" i="39"/>
  <c r="AC70" i="39"/>
  <c r="P71" i="39"/>
  <c r="R71" i="39" s="1"/>
  <c r="S71" i="39"/>
  <c r="AB71" i="39"/>
  <c r="AC71" i="39"/>
  <c r="AC43" i="39"/>
  <c r="AB43" i="39"/>
  <c r="S43" i="39"/>
  <c r="P43" i="39"/>
  <c r="R43" i="39" s="1"/>
  <c r="AC42" i="39"/>
  <c r="AB42" i="39"/>
  <c r="S42" i="39"/>
  <c r="P42" i="39"/>
  <c r="R42" i="39" s="1"/>
  <c r="AC46" i="39"/>
  <c r="AB46" i="39"/>
  <c r="S46" i="39"/>
  <c r="P46" i="39"/>
  <c r="R46" i="39" s="1"/>
  <c r="AC45" i="39"/>
  <c r="AB45" i="39"/>
  <c r="S45" i="39"/>
  <c r="P45" i="39"/>
  <c r="R45" i="39" s="1"/>
  <c r="AC44" i="39"/>
  <c r="AB44" i="39"/>
  <c r="S44" i="39"/>
  <c r="P44" i="39"/>
  <c r="R44" i="39" s="1"/>
  <c r="AC41" i="39"/>
  <c r="AB41" i="39"/>
  <c r="S41" i="39"/>
  <c r="P41" i="39"/>
  <c r="R41" i="39" s="1"/>
  <c r="AC40" i="39"/>
  <c r="AB40" i="39"/>
  <c r="S40" i="39"/>
  <c r="P40" i="39"/>
  <c r="R40" i="39" s="1"/>
  <c r="R13" i="39"/>
  <c r="AB13" i="39"/>
  <c r="AC13" i="39"/>
  <c r="R14" i="39"/>
  <c r="AB14" i="39"/>
  <c r="AC14" i="39"/>
  <c r="R15" i="39"/>
  <c r="AB15" i="39"/>
  <c r="AC15" i="39"/>
  <c r="AB39" i="39"/>
  <c r="AC39" i="39"/>
  <c r="AB47" i="39"/>
  <c r="AC47" i="39"/>
  <c r="AB48" i="39"/>
  <c r="AC48" i="39"/>
  <c r="AB49" i="39"/>
  <c r="AC49" i="39"/>
  <c r="AB50" i="39"/>
  <c r="AC50" i="39"/>
  <c r="P39" i="39"/>
  <c r="R39" i="39" s="1"/>
  <c r="S39" i="39"/>
  <c r="P47" i="39"/>
  <c r="R47" i="39" s="1"/>
  <c r="S47" i="39"/>
  <c r="P48" i="39"/>
  <c r="R48" i="39" s="1"/>
  <c r="S48" i="39"/>
  <c r="P49" i="39"/>
  <c r="R49" i="39" s="1"/>
  <c r="S49" i="39"/>
  <c r="P50" i="39"/>
  <c r="R50" i="39" s="1"/>
  <c r="S50" i="39"/>
  <c r="P51" i="39"/>
  <c r="R51" i="39" s="1"/>
  <c r="S51" i="39"/>
  <c r="P52" i="39"/>
  <c r="R52" i="39" s="1"/>
  <c r="S52" i="39"/>
  <c r="AB11" i="39"/>
  <c r="AC11" i="39"/>
  <c r="AB12" i="39"/>
  <c r="AC12" i="39"/>
  <c r="AB16" i="39"/>
  <c r="AC16" i="39"/>
  <c r="AB17" i="39"/>
  <c r="AC17" i="39"/>
  <c r="AB18" i="39"/>
  <c r="AC18" i="39"/>
  <c r="AB19" i="39"/>
  <c r="AC19" i="39"/>
  <c r="AB20" i="39"/>
  <c r="AC20" i="39"/>
  <c r="AB21" i="39"/>
  <c r="AC21" i="39"/>
  <c r="AB22" i="39"/>
  <c r="AC22" i="39"/>
  <c r="R22" i="39"/>
  <c r="R21" i="39"/>
  <c r="R20" i="39"/>
  <c r="R19" i="39"/>
  <c r="R18" i="39"/>
  <c r="R17" i="39"/>
  <c r="R16" i="39"/>
  <c r="R12" i="39"/>
  <c r="R11" i="39"/>
  <c r="S21" i="39" l="1"/>
  <c r="S22" i="39"/>
  <c r="S20" i="39"/>
  <c r="S19" i="39"/>
  <c r="S18" i="39"/>
  <c r="S17" i="39"/>
  <c r="S16" i="39"/>
  <c r="S15" i="39"/>
  <c r="S14" i="39"/>
  <c r="S13" i="39"/>
  <c r="S12" i="39"/>
  <c r="S11" i="39"/>
  <c r="R88" i="39"/>
  <c r="R85" i="39"/>
  <c r="R93" i="39"/>
  <c r="R84" i="39"/>
  <c r="R92" i="39"/>
  <c r="R89" i="39"/>
  <c r="R82" i="39"/>
  <c r="R94" i="39"/>
  <c r="R86" i="39"/>
  <c r="R90" i="39"/>
  <c r="P119" i="39" l="1"/>
  <c r="P118" i="39"/>
  <c r="P117" i="39"/>
  <c r="P116" i="39"/>
  <c r="P115" i="39"/>
  <c r="P114" i="39"/>
  <c r="P101" i="39"/>
  <c r="P100" i="39"/>
  <c r="P98" i="39"/>
  <c r="P97" i="39"/>
  <c r="P96" i="39"/>
  <c r="P95" i="39"/>
  <c r="P81" i="39"/>
  <c r="P80" i="39"/>
  <c r="P79" i="39"/>
  <c r="P77" i="39"/>
  <c r="P76" i="39"/>
  <c r="P75" i="39"/>
  <c r="P74" i="39"/>
  <c r="P73" i="39"/>
  <c r="P72" i="39"/>
  <c r="P59" i="39"/>
  <c r="P58" i="39"/>
  <c r="P56" i="39"/>
  <c r="P55" i="39"/>
  <c r="P54" i="39"/>
  <c r="P53" i="39"/>
  <c r="P38" i="39"/>
  <c r="P37" i="39"/>
  <c r="P35" i="39"/>
  <c r="P34" i="39"/>
  <c r="H120" i="39" l="1"/>
  <c r="H99" i="39"/>
  <c r="AB122" i="39" l="1"/>
  <c r="AB138" i="39"/>
  <c r="AB139" i="39"/>
  <c r="AB140" i="39"/>
  <c r="AB35" i="39"/>
  <c r="AB34" i="39"/>
  <c r="AB24" i="39"/>
  <c r="AB23" i="39"/>
  <c r="AB10" i="39"/>
  <c r="T142" i="39" s="1"/>
  <c r="AB56" i="39"/>
  <c r="AB55" i="39"/>
  <c r="AB54" i="39"/>
  <c r="AB53" i="39"/>
  <c r="AB52" i="39"/>
  <c r="AB51" i="39"/>
  <c r="AB77" i="39"/>
  <c r="AB76" i="39"/>
  <c r="AB75" i="39"/>
  <c r="AB74" i="39"/>
  <c r="AB73" i="39"/>
  <c r="AB98" i="39"/>
  <c r="AB97" i="39"/>
  <c r="AB96" i="39"/>
  <c r="AB119" i="39"/>
  <c r="AB118" i="39"/>
  <c r="AB117" i="39"/>
  <c r="AB116" i="39"/>
  <c r="G141" i="39" l="1"/>
  <c r="AC81" i="39" l="1"/>
  <c r="AB81" i="39" s="1"/>
  <c r="AC95" i="39"/>
  <c r="AB95" i="39" s="1"/>
  <c r="AC96" i="39"/>
  <c r="R79" i="39" l="1"/>
  <c r="R80" i="39"/>
  <c r="S98" i="39"/>
  <c r="R98" i="39"/>
  <c r="S97" i="39"/>
  <c r="R97" i="39"/>
  <c r="S96" i="39"/>
  <c r="R96" i="39"/>
  <c r="S95" i="39"/>
  <c r="R95" i="39"/>
  <c r="R81" i="39"/>
  <c r="S77" i="39"/>
  <c r="R77" i="39"/>
  <c r="S76" i="39"/>
  <c r="R76" i="39"/>
  <c r="S75" i="39"/>
  <c r="R75" i="39"/>
  <c r="S74" i="39"/>
  <c r="R74" i="39"/>
  <c r="S73" i="39"/>
  <c r="R73" i="39"/>
  <c r="S141" i="39"/>
  <c r="Q141" i="39"/>
  <c r="P141" i="39"/>
  <c r="AC140" i="39"/>
  <c r="AC139" i="39"/>
  <c r="AC138" i="39"/>
  <c r="AC122" i="39"/>
  <c r="AC121" i="39"/>
  <c r="AB121" i="39" s="1"/>
  <c r="AC77" i="39"/>
  <c r="AC76" i="39"/>
  <c r="AC75" i="39"/>
  <c r="AC74" i="39"/>
  <c r="AC73" i="39"/>
  <c r="AC72" i="39"/>
  <c r="AB72" i="39" s="1"/>
  <c r="Q120" i="39"/>
  <c r="AC119" i="39"/>
  <c r="S119" i="39"/>
  <c r="R119" i="39"/>
  <c r="AC118" i="39"/>
  <c r="S118" i="39"/>
  <c r="R118" i="39"/>
  <c r="AC117" i="39"/>
  <c r="S117" i="39"/>
  <c r="R117" i="39"/>
  <c r="AC116" i="39"/>
  <c r="S116" i="39"/>
  <c r="R116" i="39"/>
  <c r="AC115" i="39"/>
  <c r="AB115" i="39" s="1"/>
  <c r="AC114" i="39"/>
  <c r="AB114" i="39" s="1"/>
  <c r="AC101" i="39"/>
  <c r="AB101" i="39" s="1"/>
  <c r="AC100" i="39"/>
  <c r="AB100" i="39" s="1"/>
  <c r="AC98" i="39"/>
  <c r="AC97" i="39"/>
  <c r="AC80" i="39"/>
  <c r="AB80" i="39" s="1"/>
  <c r="AC79" i="39"/>
  <c r="AB79" i="39" s="1"/>
  <c r="Q57" i="39"/>
  <c r="AC56" i="39"/>
  <c r="S56" i="39"/>
  <c r="R56" i="39"/>
  <c r="AC55" i="39"/>
  <c r="S55" i="39"/>
  <c r="R55" i="39"/>
  <c r="AC54" i="39"/>
  <c r="S54" i="39"/>
  <c r="R54" i="39"/>
  <c r="AC53" i="39"/>
  <c r="S53" i="39"/>
  <c r="R53" i="39"/>
  <c r="AC52" i="39"/>
  <c r="AC51" i="39"/>
  <c r="Q36" i="39"/>
  <c r="AC35" i="39"/>
  <c r="S35" i="39"/>
  <c r="R35" i="39"/>
  <c r="AC34" i="39"/>
  <c r="S34" i="39"/>
  <c r="R34" i="39"/>
  <c r="AC24" i="39"/>
  <c r="S24" i="39"/>
  <c r="R24" i="39"/>
  <c r="AC23" i="39"/>
  <c r="R23" i="39"/>
  <c r="S23" i="39" s="1"/>
  <c r="AC10" i="39"/>
  <c r="U142" i="39" s="1"/>
  <c r="R10" i="39"/>
  <c r="S10" i="39" s="1"/>
  <c r="AC9" i="39"/>
  <c r="AB9" i="39" s="1"/>
  <c r="R9" i="39"/>
  <c r="Q6" i="39" l="1"/>
  <c r="Q142" i="39"/>
  <c r="R100" i="39"/>
  <c r="R72" i="39"/>
  <c r="S81" i="39"/>
  <c r="S80" i="39"/>
  <c r="S9" i="39"/>
  <c r="S79" i="39"/>
  <c r="R141" i="39"/>
  <c r="P99" i="39"/>
  <c r="R99" i="39" s="1"/>
  <c r="AB141" i="39"/>
  <c r="AC141" i="39"/>
  <c r="AC120" i="39"/>
  <c r="AB99" i="39"/>
  <c r="G99" i="39" s="1"/>
  <c r="AC99" i="39"/>
  <c r="AC58" i="39"/>
  <c r="AB58" i="39" s="1"/>
  <c r="AB120" i="39"/>
  <c r="G120" i="39" s="1"/>
  <c r="P7" i="39" l="1"/>
  <c r="S38" i="39"/>
  <c r="S100" i="39"/>
  <c r="P120" i="39"/>
  <c r="R120" i="39" s="1"/>
  <c r="S99" i="39"/>
  <c r="R114" i="39"/>
  <c r="S114" i="39"/>
  <c r="R115" i="39"/>
  <c r="S115" i="39"/>
  <c r="R101" i="39"/>
  <c r="S101" i="39"/>
  <c r="S72" i="39"/>
  <c r="AC38" i="39"/>
  <c r="AB38" i="39" s="1"/>
  <c r="AC37" i="39"/>
  <c r="AB37" i="39" s="1"/>
  <c r="AC59" i="39"/>
  <c r="AC7" i="39"/>
  <c r="AC8" i="39"/>
  <c r="AB8" i="39" s="1"/>
  <c r="AB7" i="39" l="1"/>
  <c r="AB36" i="39" s="1"/>
  <c r="G36" i="39" s="1"/>
  <c r="AC78" i="39"/>
  <c r="AB59" i="39"/>
  <c r="AB78" i="39" s="1"/>
  <c r="G78" i="39" s="1"/>
  <c r="R59" i="39"/>
  <c r="P36" i="39"/>
  <c r="S120" i="39"/>
  <c r="P57" i="39"/>
  <c r="R57" i="39" s="1"/>
  <c r="R38" i="39"/>
  <c r="S37" i="39"/>
  <c r="R37" i="39"/>
  <c r="R7" i="39"/>
  <c r="S7" i="39" s="1"/>
  <c r="AB57" i="39"/>
  <c r="G57" i="39" s="1"/>
  <c r="AC57" i="39"/>
  <c r="AC36" i="39"/>
  <c r="G6" i="39" l="1"/>
  <c r="G142" i="39"/>
  <c r="R36" i="39"/>
  <c r="S57" i="39"/>
  <c r="S59" i="39"/>
  <c r="P78" i="39"/>
  <c r="R78" i="39" s="1"/>
  <c r="R8" i="39"/>
  <c r="S8" i="39" s="1"/>
  <c r="S58" i="39"/>
  <c r="R58" i="39"/>
  <c r="H56" i="41" l="1"/>
  <c r="H58" i="41"/>
  <c r="H54" i="41"/>
  <c r="H57" i="41"/>
  <c r="H53" i="41"/>
  <c r="H52" i="41"/>
  <c r="P142" i="39"/>
  <c r="R142" i="39"/>
  <c r="P6" i="39"/>
  <c r="R6" i="39"/>
  <c r="S78" i="39"/>
  <c r="S36" i="39"/>
  <c r="I52" i="41" l="1"/>
  <c r="I52" i="42" s="1"/>
  <c r="H52" i="42"/>
  <c r="I53" i="41"/>
  <c r="I53" i="42" s="1"/>
  <c r="H53" i="42"/>
  <c r="I57" i="41"/>
  <c r="I57" i="42" s="1"/>
  <c r="H57" i="42"/>
  <c r="I54" i="41"/>
  <c r="H54" i="42"/>
  <c r="I58" i="41"/>
  <c r="I58" i="42" s="1"/>
  <c r="H58" i="42"/>
  <c r="I56" i="41"/>
  <c r="I56" i="42" s="1"/>
  <c r="H56" i="42"/>
  <c r="S6" i="39"/>
  <c r="S142" i="39"/>
  <c r="K53" i="41" l="1"/>
  <c r="J53" i="41" s="1"/>
  <c r="J53" i="42" s="1"/>
  <c r="K56" i="41"/>
  <c r="J56" i="41" s="1"/>
  <c r="J56" i="42" s="1"/>
  <c r="K58" i="41"/>
  <c r="K58" i="42" s="1"/>
  <c r="K57" i="41"/>
  <c r="K57" i="42" s="1"/>
  <c r="K54" i="41"/>
  <c r="I54" i="42"/>
  <c r="I50" i="42" s="1"/>
  <c r="I50" i="41"/>
  <c r="K52" i="41"/>
  <c r="I55" i="41"/>
  <c r="I55" i="42"/>
  <c r="K53" i="42" l="1"/>
  <c r="J57" i="41"/>
  <c r="J57" i="42" s="1"/>
  <c r="K56" i="42"/>
  <c r="J58" i="41"/>
  <c r="J58" i="42" s="1"/>
  <c r="K55" i="41"/>
  <c r="I59" i="42"/>
  <c r="I60" i="42" s="1"/>
  <c r="I59" i="41"/>
  <c r="I62" i="41" s="1"/>
  <c r="I64" i="41" s="1"/>
  <c r="K55" i="42"/>
  <c r="J52" i="41"/>
  <c r="K52" i="42"/>
  <c r="K50" i="41"/>
  <c r="J54" i="41"/>
  <c r="J54" i="42" s="1"/>
  <c r="K54" i="42"/>
  <c r="J55" i="42" l="1"/>
  <c r="K59" i="41"/>
  <c r="Q59" i="41" s="1"/>
  <c r="J55" i="41"/>
  <c r="I60" i="41"/>
  <c r="I62" i="42"/>
  <c r="I64" i="42" s="1"/>
  <c r="K50" i="42"/>
  <c r="K59" i="42" s="1"/>
  <c r="J52" i="42"/>
  <c r="J50" i="42" s="1"/>
  <c r="J50" i="41"/>
  <c r="I75" i="41"/>
  <c r="I63" i="41"/>
  <c r="J59" i="42" l="1"/>
  <c r="J62" i="42" s="1"/>
  <c r="J64" i="42" s="1"/>
  <c r="K62" i="41"/>
  <c r="Q62" i="41" s="1"/>
  <c r="K60" i="41"/>
  <c r="S59" i="41"/>
  <c r="J59" i="41"/>
  <c r="J60" i="41" s="1"/>
  <c r="I63" i="42"/>
  <c r="I75" i="42"/>
  <c r="I76" i="41" s="1"/>
  <c r="K60" i="42"/>
  <c r="Q59" i="42"/>
  <c r="K62" i="42"/>
  <c r="S59" i="42"/>
  <c r="J60" i="42"/>
  <c r="K64" i="41" l="1"/>
  <c r="K63" i="41"/>
  <c r="K75" i="41"/>
  <c r="Q75" i="41" s="1"/>
  <c r="J62" i="41"/>
  <c r="K63" i="42"/>
  <c r="Q62" i="42"/>
  <c r="J63" i="41"/>
  <c r="K75" i="42"/>
  <c r="K64" i="42"/>
  <c r="J63" i="42"/>
  <c r="J75" i="42"/>
  <c r="J76" i="41" s="1"/>
  <c r="J75" i="41" l="1"/>
  <c r="J64" i="41"/>
  <c r="K76" i="41"/>
  <c r="Q76" i="41" s="1"/>
  <c r="Q75" i="42"/>
</calcChain>
</file>

<file path=xl/comments1.xml><?xml version="1.0" encoding="utf-8"?>
<comments xmlns="http://schemas.openxmlformats.org/spreadsheetml/2006/main">
  <authors>
    <author>Utilisateur Windows</author>
  </authors>
  <commentList>
    <comment ref="T5"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U5"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List>
</comments>
</file>

<file path=xl/comments2.xml><?xml version="1.0" encoding="utf-8"?>
<comments xmlns="http://schemas.openxmlformats.org/spreadsheetml/2006/main">
  <authors>
    <author>Utilisateur Windows</author>
  </authors>
  <commentList>
    <comment ref="C7" authorId="0" shapeId="0">
      <text>
        <r>
          <rPr>
            <b/>
            <sz val="9"/>
            <color indexed="81"/>
            <rFont val="Tahoma"/>
            <family val="2"/>
          </rPr>
          <t>Utilisateur Windows:</t>
        </r>
        <r>
          <rPr>
            <sz val="9"/>
            <color indexed="81"/>
            <rFont val="Tahoma"/>
            <family val="2"/>
          </rPr>
          <t xml:space="preserve">
Par défaut le nombre d'inscrits payants correspond à la somme des inscrits en formation continue renseignés dans le tableaux ci-dessous. Toutefois cette valeur est modificable manuellement.</t>
        </r>
      </text>
    </comment>
    <comment ref="B16" authorId="0" shapeId="0">
      <text>
        <r>
          <rPr>
            <b/>
            <sz val="9"/>
            <color indexed="81"/>
            <rFont val="Tahoma"/>
            <family val="2"/>
          </rPr>
          <t>Utilisateur Windows:</t>
        </r>
        <r>
          <rPr>
            <sz val="9"/>
            <color indexed="81"/>
            <rFont val="Tahoma"/>
            <family val="2"/>
          </rPr>
          <t xml:space="preserve">
uniquement les droits des étudiants en FI, l'intégralité des droits des stagiaires en FC doit être saisie dans la partie "financements propres"</t>
        </r>
      </text>
    </comment>
    <comment ref="B28" authorId="0" shapeId="0">
      <text>
        <r>
          <rPr>
            <b/>
            <sz val="9"/>
            <color indexed="81"/>
            <rFont val="Tahoma"/>
            <family val="2"/>
          </rPr>
          <t>Utilisateur Windows:</t>
        </r>
        <r>
          <rPr>
            <sz val="9"/>
            <color indexed="81"/>
            <rFont val="Tahoma"/>
            <family val="2"/>
          </rPr>
          <t xml:space="preserve">
Ne comptabilise que les tarifs pour lesquels le nombre d'étudiants n'est pas nul</t>
        </r>
      </text>
    </comment>
  </commentList>
</comments>
</file>

<file path=xl/comments3.xml><?xml version="1.0" encoding="utf-8"?>
<comments xmlns="http://schemas.openxmlformats.org/spreadsheetml/2006/main">
  <authors>
    <author>Utilisateur Windows</author>
  </authors>
  <commentList>
    <comment ref="C16"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C17"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 ref="D51" authorId="0" shapeId="0">
      <text>
        <r>
          <rPr>
            <b/>
            <sz val="9"/>
            <color indexed="81"/>
            <rFont val="Tahoma"/>
            <family val="2"/>
          </rPr>
          <t>Utilisateur Windows:</t>
        </r>
        <r>
          <rPr>
            <sz val="9"/>
            <color indexed="81"/>
            <rFont val="Tahoma"/>
            <family val="2"/>
          </rPr>
          <t xml:space="preserve">
Coût du service commun de formation continue</t>
        </r>
      </text>
    </comment>
    <comment ref="C52" authorId="0" shapeId="0">
      <text>
        <r>
          <rPr>
            <b/>
            <sz val="9"/>
            <color indexed="81"/>
            <rFont val="Tahoma"/>
            <family val="2"/>
          </rPr>
          <t>Utilisateur Windows:</t>
        </r>
        <r>
          <rPr>
            <sz val="9"/>
            <color indexed="81"/>
            <rFont val="Tahoma"/>
            <family val="2"/>
          </rPr>
          <t xml:space="preserve">
Coût des personnels BIATSS des composantes, de la DFVE, de la DRI, du SCUIO, etc</t>
        </r>
      </text>
    </comment>
    <comment ref="C53" authorId="0" shapeId="0">
      <text>
        <r>
          <rPr>
            <b/>
            <sz val="9"/>
            <color indexed="81"/>
            <rFont val="Tahoma"/>
            <family val="2"/>
          </rPr>
          <t>Utilisateur Windows:</t>
        </r>
        <r>
          <rPr>
            <sz val="9"/>
            <color indexed="81"/>
            <rFont val="Tahoma"/>
            <family val="2"/>
          </rPr>
          <t xml:space="preserve">
Coûts du SCD</t>
        </r>
      </text>
    </comment>
    <comment ref="C54" authorId="0" shapeId="0">
      <text>
        <r>
          <rPr>
            <b/>
            <sz val="9"/>
            <color indexed="81"/>
            <rFont val="Tahoma"/>
            <family val="2"/>
          </rPr>
          <t>Utilisateur Windows:</t>
        </r>
        <r>
          <rPr>
            <sz val="9"/>
            <color indexed="81"/>
            <rFont val="Tahoma"/>
            <family val="2"/>
          </rPr>
          <t xml:space="preserve">
Coûts de la DFVE vie étudiante, du SUAPS, du SUMMPS, etc</t>
        </r>
      </text>
    </comment>
    <comment ref="D56" authorId="0" shapeId="0">
      <text>
        <r>
          <rPr>
            <b/>
            <sz val="9"/>
            <color indexed="81"/>
            <rFont val="Tahoma"/>
            <family val="2"/>
          </rPr>
          <t>Utilisateur Windows:</t>
        </r>
        <r>
          <rPr>
            <sz val="9"/>
            <color indexed="81"/>
            <rFont val="Tahoma"/>
            <family val="2"/>
          </rPr>
          <t xml:space="preserve">
Coûts des services centraux (présidence, Agence Comptable, DAF, communication,…)</t>
        </r>
      </text>
    </comment>
    <comment ref="C57" authorId="0" shapeId="0">
      <text>
        <r>
          <rPr>
            <b/>
            <sz val="9"/>
            <color indexed="81"/>
            <rFont val="Tahoma"/>
            <family val="2"/>
          </rPr>
          <t>Utilisateur Windows:</t>
        </r>
        <r>
          <rPr>
            <sz val="9"/>
            <color indexed="81"/>
            <rFont val="Tahoma"/>
            <family val="2"/>
          </rPr>
          <t xml:space="preserve">
Coûts de la DIMMO</t>
        </r>
      </text>
    </comment>
    <comment ref="D58" authorId="0" shapeId="0">
      <text>
        <r>
          <rPr>
            <b/>
            <sz val="9"/>
            <color indexed="81"/>
            <rFont val="Tahoma"/>
            <family val="2"/>
          </rPr>
          <t>Utilisateur Windows:</t>
        </r>
        <r>
          <rPr>
            <sz val="9"/>
            <color indexed="81"/>
            <rFont val="Tahoma"/>
            <family val="2"/>
          </rPr>
          <t xml:space="preserve">
Coûts de la DSI</t>
        </r>
      </text>
    </comment>
  </commentList>
</comments>
</file>

<file path=xl/comments4.xml><?xml version="1.0" encoding="utf-8"?>
<comments xmlns="http://schemas.openxmlformats.org/spreadsheetml/2006/main">
  <authors>
    <author>Utilisateur Windows</author>
  </authors>
  <commentList>
    <comment ref="C16" authorId="0" shapeId="0">
      <text>
        <r>
          <rPr>
            <b/>
            <sz val="9"/>
            <color indexed="81"/>
            <rFont val="Tahoma"/>
            <family val="2"/>
          </rPr>
          <t>Utilisateur Windows:</t>
        </r>
        <r>
          <rPr>
            <sz val="9"/>
            <color indexed="81"/>
            <rFont val="Tahoma"/>
            <family val="2"/>
          </rPr>
          <t xml:space="preserve">
Professeur des universités et assimilés, maître de conférence, professeur agrégé et assimilé, certifié, professeur de lycée professionnel, professeur EPS</t>
        </r>
      </text>
    </comment>
    <comment ref="C17" authorId="0" shapeId="0">
      <text>
        <r>
          <rPr>
            <b/>
            <sz val="9"/>
            <color indexed="81"/>
            <rFont val="Tahoma"/>
            <family val="2"/>
          </rPr>
          <t>Utilisateur Windows:</t>
        </r>
        <r>
          <rPr>
            <sz val="9"/>
            <color indexed="81"/>
            <rFont val="Tahoma"/>
            <family val="2"/>
          </rPr>
          <t xml:space="preserve">
Enseignant-chercheur associé ou invité (PAST et MAST), attaché temporaire d’enseignement et de recherche (ATER), lecteurs, maître de langue</t>
        </r>
      </text>
    </comment>
    <comment ref="D51" authorId="0" shapeId="0">
      <text>
        <r>
          <rPr>
            <b/>
            <sz val="9"/>
            <color indexed="81"/>
            <rFont val="Tahoma"/>
            <family val="2"/>
          </rPr>
          <t>Utilisateur Windows:</t>
        </r>
        <r>
          <rPr>
            <sz val="9"/>
            <color indexed="81"/>
            <rFont val="Tahoma"/>
            <family val="2"/>
          </rPr>
          <t xml:space="preserve">
Coût du service commun de formation continue</t>
        </r>
      </text>
    </comment>
    <comment ref="C52" authorId="0" shapeId="0">
      <text>
        <r>
          <rPr>
            <b/>
            <sz val="9"/>
            <color indexed="81"/>
            <rFont val="Tahoma"/>
            <family val="2"/>
          </rPr>
          <t>Utilisateur Windows:</t>
        </r>
        <r>
          <rPr>
            <sz val="9"/>
            <color indexed="81"/>
            <rFont val="Tahoma"/>
            <family val="2"/>
          </rPr>
          <t xml:space="preserve">
Coût des personnels BIATSS des composantes, de la DFVE, de la DRI, du SCUIO, etc</t>
        </r>
      </text>
    </comment>
    <comment ref="C53" authorId="0" shapeId="0">
      <text>
        <r>
          <rPr>
            <b/>
            <sz val="9"/>
            <color indexed="81"/>
            <rFont val="Tahoma"/>
            <family val="2"/>
          </rPr>
          <t>Utilisateur Windows:</t>
        </r>
        <r>
          <rPr>
            <sz val="9"/>
            <color indexed="81"/>
            <rFont val="Tahoma"/>
            <family val="2"/>
          </rPr>
          <t xml:space="preserve">
Coûts du SCD</t>
        </r>
      </text>
    </comment>
    <comment ref="C54" authorId="0" shapeId="0">
      <text>
        <r>
          <rPr>
            <b/>
            <sz val="9"/>
            <color indexed="81"/>
            <rFont val="Tahoma"/>
            <family val="2"/>
          </rPr>
          <t>Utilisateur Windows:</t>
        </r>
        <r>
          <rPr>
            <sz val="9"/>
            <color indexed="81"/>
            <rFont val="Tahoma"/>
            <family val="2"/>
          </rPr>
          <t xml:space="preserve">
Coûts de la DFVE vie étudiante, du SUAPS, du SUMMPS, etc</t>
        </r>
      </text>
    </comment>
    <comment ref="D56" authorId="0" shapeId="0">
      <text>
        <r>
          <rPr>
            <b/>
            <sz val="9"/>
            <color indexed="81"/>
            <rFont val="Tahoma"/>
            <family val="2"/>
          </rPr>
          <t>Utilisateur Windows:</t>
        </r>
        <r>
          <rPr>
            <sz val="9"/>
            <color indexed="81"/>
            <rFont val="Tahoma"/>
            <family val="2"/>
          </rPr>
          <t xml:space="preserve">
Coûts des services centraux (présidence, Agence Comptable, DAF, communication,…)</t>
        </r>
      </text>
    </comment>
    <comment ref="C57" authorId="0" shapeId="0">
      <text>
        <r>
          <rPr>
            <b/>
            <sz val="9"/>
            <color indexed="81"/>
            <rFont val="Tahoma"/>
            <family val="2"/>
          </rPr>
          <t>Utilisateur Windows:</t>
        </r>
        <r>
          <rPr>
            <sz val="9"/>
            <color indexed="81"/>
            <rFont val="Tahoma"/>
            <family val="2"/>
          </rPr>
          <t xml:space="preserve">
Coûts de la DIMMO</t>
        </r>
      </text>
    </comment>
    <comment ref="D58" authorId="0" shapeId="0">
      <text>
        <r>
          <rPr>
            <b/>
            <sz val="9"/>
            <color indexed="81"/>
            <rFont val="Tahoma"/>
            <family val="2"/>
          </rPr>
          <t>Utilisateur Windows:</t>
        </r>
        <r>
          <rPr>
            <sz val="9"/>
            <color indexed="81"/>
            <rFont val="Tahoma"/>
            <family val="2"/>
          </rPr>
          <t xml:space="preserve">
Coûts de la DSI</t>
        </r>
      </text>
    </comment>
  </commentList>
</comments>
</file>

<file path=xl/sharedStrings.xml><?xml version="1.0" encoding="utf-8"?>
<sst xmlns="http://schemas.openxmlformats.org/spreadsheetml/2006/main" count="604" uniqueCount="328">
  <si>
    <t>codes
 maquette financière</t>
  </si>
  <si>
    <t>Dispositions prévues par l’arrêté du 31 juillet 2009</t>
  </si>
  <si>
    <t>Règles de référentiel / validé avril 2020</t>
  </si>
  <si>
    <t>Enveloppe Réferentiel composante</t>
  </si>
  <si>
    <t>Recettes d’activité</t>
  </si>
  <si>
    <t>A.2</t>
  </si>
  <si>
    <t>ACCOMPAGNEMENT</t>
  </si>
  <si>
    <t>A. 2.1</t>
  </si>
  <si>
    <t>Accompagnement 
projet tutoré</t>
  </si>
  <si>
    <t>Hors apprentissage : encadrement des projets tutorés présents dans la maquette et donnant lieu à une évaluation dans la limite de 15 HETD à moduler selon le nombre d'étudiant</t>
  </si>
  <si>
    <t>X</t>
  </si>
  <si>
    <t>Dans le cadre de l'apprentissage, encadrement des projets tutorés présents dans la maquette et donnant lieu à une évaluation :  plafond de 20 HETD par projet</t>
  </si>
  <si>
    <t>A. 2.2</t>
  </si>
  <si>
    <t>Suivi mémoires</t>
  </si>
  <si>
    <t>Hors apprentissage : encadrement des mémoires dans la limite de 15 HETD à moduler selon le nombre d'étudiants et le niveau</t>
  </si>
  <si>
    <t>Dans le cadre de l'apprentissage et de la formation continue, le plafond est de 24 HETD en fonction du nombre d’étudiants</t>
  </si>
  <si>
    <t>A. 2.3</t>
  </si>
  <si>
    <t>Suivi de stage avec suivi sur le lieu de stage, du rapport et lien avec le maître de stage</t>
  </si>
  <si>
    <t>Hors apprentissage : encadrement des stages de plus de 2 mois dans la limite de 15 HETD à moduler selon le nombre d'étudiants et le niveau</t>
  </si>
  <si>
    <t>A. 2.4</t>
  </si>
  <si>
    <t>Tutorat apprentissage</t>
  </si>
  <si>
    <t>Dans le cadre de l'apprentissage : plafond de 2 HETD par visite d'entreprise (2,5 HETD dans le cas d’entreprise éloignée) et/ou pour l'encadrement des projets étudiant + plafond  de 5 HETD pour l'encadrement d’un stage préparatoire à l’apprentissage (2 visites)</t>
  </si>
  <si>
    <t>A. 2.5</t>
  </si>
  <si>
    <t>Sorties pédagogiques /
 journées d'étude</t>
  </si>
  <si>
    <t>non prévu dans le référentiel</t>
  </si>
  <si>
    <t>A.3</t>
  </si>
  <si>
    <t>ENCADREMENT ET PILOTAGE DU DIPLÔME</t>
  </si>
  <si>
    <t>A. 3.1</t>
  </si>
  <si>
    <t>Responsabilité diplôme 
Activités pédagogiques / responsable de structures ou de missions pédagogiques</t>
  </si>
  <si>
    <t>Plafond de 30 HETD pour la responsabilité d'une filière, d'un portail, d'une licence ou d'un master ainsi que  pour la coordination d'une mention co- accrédite.</t>
  </si>
  <si>
    <t>Plafond de 10 HETD : coordination des stages obligatoires dans une même formation (figurant dans la maquette)</t>
  </si>
  <si>
    <t>Plafond de 20 HETD : DU et formation continue</t>
  </si>
  <si>
    <t>A. 3.2</t>
  </si>
  <si>
    <t>Heures de recrutement (1 / 20 dossiers)</t>
  </si>
  <si>
    <t>Dans le cadre de l'apprentissage, plafond d'1 HETD par jury de recrutement des étudiants – 1 HETD pour 20 dossiers de recrutement apprentissage</t>
  </si>
  <si>
    <t>A. 3.3</t>
  </si>
  <si>
    <t>Autres</t>
  </si>
  <si>
    <t>MODE OPERATOIRE EN COURS DE REALISATION (PAS A JOUR)</t>
  </si>
  <si>
    <t>Vous trouverez ci-dessous les grandes étapes explicatives de la saisie de la maquette. Le détail de fonctionnement des cellucles est intégré au travers de commentaires dans chacun des onglets.</t>
  </si>
  <si>
    <t>Onglet "enseignements"</t>
  </si>
  <si>
    <r>
      <rPr>
        <b/>
        <sz val="10"/>
        <rFont val="Arial"/>
        <family val="2"/>
      </rPr>
      <t xml:space="preserve">     * Saisie de la structure pédagogique (colonnes C à N):</t>
    </r>
    <r>
      <rPr>
        <sz val="10"/>
        <rFont val="Arial"/>
        <family val="2"/>
      </rPr>
      <t xml:space="preserve">
</t>
    </r>
  </si>
  <si>
    <t xml:space="preserve">La composante saisit de manière exhausive la structure pédagogique de la formation avec les effectifs prévisionnels pour chaque enseignement, le nombre de groupes, etc. </t>
  </si>
  <si>
    <t>A partir de ces éléments, le nombre d'heure d'enseignements en équivalent TD est automatiquement calculé.</t>
  </si>
  <si>
    <t>Pour chaque enseignement il est important de préciser le type d'enseignement car celui-ci va conditionner le calcul du budget :</t>
  </si>
  <si>
    <r>
      <rPr>
        <b/>
        <sz val="10"/>
        <rFont val="Arial"/>
        <family val="2"/>
      </rPr>
      <t>CM</t>
    </r>
    <r>
      <rPr>
        <sz val="10"/>
        <rFont val="Arial"/>
        <family val="2"/>
      </rPr>
      <t xml:space="preserve"> = cours magistraux                                   </t>
    </r>
    <r>
      <rPr>
        <b/>
        <sz val="10"/>
        <rFont val="Arial"/>
        <family val="2"/>
      </rPr>
      <t>MEAU</t>
    </r>
    <r>
      <rPr>
        <sz val="10"/>
        <rFont val="Arial"/>
        <family val="2"/>
      </rPr>
      <t xml:space="preserve"> = mémoire de recherche en autonomie*
</t>
    </r>
    <r>
      <rPr>
        <b/>
        <sz val="10"/>
        <rFont val="Arial"/>
        <family val="2"/>
      </rPr>
      <t xml:space="preserve">TD </t>
    </r>
    <r>
      <rPr>
        <sz val="10"/>
        <rFont val="Arial"/>
        <family val="2"/>
      </rPr>
      <t xml:space="preserve">= travaux dirigés                                       </t>
    </r>
    <r>
      <rPr>
        <b/>
        <sz val="10"/>
        <rFont val="Arial"/>
        <family val="2"/>
      </rPr>
      <t>METD</t>
    </r>
    <r>
      <rPr>
        <sz val="10"/>
        <rFont val="Arial"/>
        <family val="2"/>
      </rPr>
      <t xml:space="preserve"> = mémoire de recherche en regroupement TD*                       
</t>
    </r>
    <r>
      <rPr>
        <b/>
        <sz val="10"/>
        <rFont val="Arial"/>
        <family val="2"/>
      </rPr>
      <t>ST</t>
    </r>
    <r>
      <rPr>
        <sz val="10"/>
        <rFont val="Arial"/>
        <family val="2"/>
      </rPr>
      <t xml:space="preserve"> = stage                                                     </t>
    </r>
    <r>
      <rPr>
        <b/>
        <sz val="10"/>
        <rFont val="Arial"/>
        <family val="2"/>
      </rPr>
      <t>FOAD</t>
    </r>
    <r>
      <rPr>
        <sz val="10"/>
        <rFont val="Arial"/>
        <family val="2"/>
      </rPr>
      <t xml:space="preserve"> = formation à distance
</t>
    </r>
    <r>
      <rPr>
        <b/>
        <sz val="10"/>
        <rFont val="Arial"/>
        <family val="2"/>
      </rPr>
      <t>ENT</t>
    </r>
    <r>
      <rPr>
        <sz val="10"/>
        <rFont val="Arial"/>
        <family val="2"/>
      </rPr>
      <t xml:space="preserve"> = entreprise (alternance)                         </t>
    </r>
    <r>
      <rPr>
        <b/>
        <sz val="10"/>
        <rFont val="Arial"/>
        <family val="2"/>
      </rPr>
      <t>AFEST</t>
    </r>
    <r>
      <rPr>
        <sz val="10"/>
        <rFont val="Arial"/>
        <family val="2"/>
      </rPr>
      <t xml:space="preserve"> = action de formation en situation de travai
</t>
    </r>
    <r>
      <rPr>
        <b/>
        <sz val="10"/>
        <rFont val="Arial"/>
        <family val="2"/>
      </rPr>
      <t>PTAU</t>
    </r>
    <r>
      <rPr>
        <sz val="10"/>
        <rFont val="Arial"/>
        <family val="2"/>
      </rPr>
      <t xml:space="preserve"> = projet tutoré en autonomie*                 </t>
    </r>
    <r>
      <rPr>
        <b/>
        <sz val="10"/>
        <rFont val="Arial"/>
        <family val="2"/>
      </rPr>
      <t>SP</t>
    </r>
    <r>
      <rPr>
        <sz val="10"/>
        <rFont val="Arial"/>
        <family val="2"/>
      </rPr>
      <t xml:space="preserve"> = sorties pédagogiques
</t>
    </r>
    <r>
      <rPr>
        <b/>
        <sz val="10"/>
        <rFont val="Arial"/>
        <family val="2"/>
      </rPr>
      <t>PTTD</t>
    </r>
    <r>
      <rPr>
        <sz val="10"/>
        <rFont val="Arial"/>
        <family val="2"/>
      </rPr>
      <t xml:space="preserve"> = projet tutoré en regroupement TD*       </t>
    </r>
    <r>
      <rPr>
        <b/>
        <sz val="10"/>
        <rFont val="Arial"/>
        <family val="2"/>
      </rPr>
      <t>JE</t>
    </r>
    <r>
      <rPr>
        <sz val="10"/>
        <rFont val="Arial"/>
        <family val="2"/>
      </rPr>
      <t xml:space="preserve"> = journées d'étude</t>
    </r>
  </si>
  <si>
    <t>* Pour les projets tutorés et les mémoires nous distinguons le travail en autonomie du travail réalisé lors de regroupements en TD. En effet cela permet par la suite de distinguer les heures d'enseignement TD en face à face des heures d'accompagnement.</t>
  </si>
  <si>
    <r>
      <rPr>
        <u/>
        <sz val="10"/>
        <rFont val="Arial"/>
        <family val="2"/>
      </rPr>
      <t>Si l'enseignement est optionnel</t>
    </r>
    <r>
      <rPr>
        <sz val="10"/>
        <rFont val="Arial"/>
        <family val="2"/>
      </rPr>
      <t xml:space="preserve"> il faudra préciser le nombre d'options parmis lesquels l'étudiant doit choisir. 
A titre d'exemple, au sein d'une UE ou d'un module, la formation propose trois options (A, B et C) parmi lesquelles l'étudiant doit en choisir 2. La saisie de l'UE/modue devra être effectuée de la manière suivante :
     </t>
    </r>
  </si>
  <si>
    <t xml:space="preserve">         - chacune des options doit être modalisée sur une ligne
         - toutes doivent comporter le même code enseignement
         - préciser "option" pour chacune
         - préciser 2 dans la colonne "nombre de choix" car l'étudiant doit choisir 2 options parmi les 3
         - préciser le nombre d'édudiants qui seront inscrits dans chaque option. Dans notre exemple, sur une promotion de 20 étudiants, 5 sont inscrits en option A,4 en B et 11 en C</t>
  </si>
  <si>
    <t xml:space="preserve">     * Saisie des heures d'enseignement (colonne Q à X)</t>
  </si>
  <si>
    <t>Une fois les informations concernant la structure pédagogique saisies, il est nécessaire de déterminer le nombre d'heures d'enseignement en équivalent TD qui vont être réalisées:
         - les heures d'enseignement en face à face (HETD) sont calculées automatiquement en colonne P sur la base des éléments déclarés dans la partie structure pédagogique
         - les heures d'accompagnement pédagogique (encadrement des stages, des projets tutorés, des mémoires, etc) sont à saisir manuellement en colonne Q</t>
  </si>
  <si>
    <t xml:space="preserve">Le total des heures est ensuite additionné en colonne R. </t>
  </si>
  <si>
    <t>Enfin, il faut préciser quelles atégories d'intervenants vont réaliser les enseignements. Ceci permet d'ajuster la masse salariale prévisionnelle en appliquant des coûts horaires moyens différents en fonction du statut de l'intervenant.</t>
  </si>
  <si>
    <t>A noter que cet onglet ne prend pas en compte les heures de pilotage et d'encadrement du diplôme qui seront ajoutés par la suite dans le budget.</t>
  </si>
  <si>
    <t xml:space="preserve">     * Contrôles de cohérence</t>
  </si>
  <si>
    <t>- heures d'enseignement cohérent (R=W) : le contrôle permet de vérifier qu'il n'y a pas d'écart entre le nombre d'heures d'enseignement nécessaires pour la formation (colonne R) et le total d'heures répartis sur les différents status des intervenants (colonne W)</t>
  </si>
  <si>
    <t>- nombre maximum d'apprenant cohérent (K &lt; nombre total d'inscrits) : le contrôle permet de s'assurer que le nombre d'inscrits indiqués pour chaque enseignement (colonne K) est inférieur ou égal au nombre d'inscrits total de la formation indiqués dans l'onglet "recettes et simulations" (E6)</t>
  </si>
  <si>
    <t>Pour ces deux contrôles, les valeurs en anomalie apparaitrons en rouge dans les lignes d'enseignement.</t>
  </si>
  <si>
    <t>Onglet "recettes et simulations"</t>
  </si>
  <si>
    <t>Cet onglet permet à la fois de saisir les recettes et le nombre d'inscriptions attendus sur la formation. La combinaison de ces éléments permets de simuler plusieurs scénarios et de mesurer l'équilibre financier de la formation.</t>
  </si>
  <si>
    <t>Les recettes saisies sont automatiquement intégrées dans l'onglet "budget détaillé".</t>
  </si>
  <si>
    <r>
      <rPr>
        <u/>
        <sz val="10"/>
        <rFont val="Arial"/>
        <family val="2"/>
      </rPr>
      <t>Rappel du résultat pour la part autofinancée</t>
    </r>
    <r>
      <rPr>
        <sz val="10"/>
        <rFont val="Arial"/>
        <family val="2"/>
      </rPr>
      <t xml:space="preserve"> : indique le résultat financier des statigaires en formation continue, avec et sans prise en compte des heures d'absentéisme qui pourraient éventuellement venir dégrever les recettes. Le résultat doit obligatoirement être supérieur ou égal à 0 afin d'assurer que les recettes couvrent bien les dépenses, la formation continue devant s'auto-financer.</t>
    </r>
  </si>
  <si>
    <r>
      <rPr>
        <u/>
        <sz val="10"/>
        <rFont val="Arial"/>
        <family val="2"/>
      </rPr>
      <t>Rappel de la part à financer par l'université au titre de la formation initiale</t>
    </r>
    <r>
      <rPr>
        <sz val="10"/>
        <rFont val="Arial"/>
        <family val="2"/>
      </rPr>
      <t xml:space="preserve"> : indique la contribution de l'université au titre des étudiants inscrits en formation initiale. Celui-ci est exprimé en montant de charges mais également en nombre d'heures d'enseignement à prendre en charge par l'établissement.</t>
    </r>
  </si>
  <si>
    <t>- le volume horaire (D18 à D27) des contrats de professionnalisation doit être compris entre 250h et 400h, il apparaitra en rouge dans le cas contraire</t>
  </si>
  <si>
    <t>- le volume horaire (D18 à D27) des contrats d'apprentissage doit être supérieur à 400h, il apparaitra en rouge dans le cas contraire</t>
  </si>
  <si>
    <t>Code Enseignement</t>
  </si>
  <si>
    <t>Libellé enseignement</t>
  </si>
  <si>
    <t>Obligatoire ou optionnel</t>
  </si>
  <si>
    <t>Nb choix</t>
  </si>
  <si>
    <t>type d'enseignement</t>
  </si>
  <si>
    <t>Volume horaire</t>
  </si>
  <si>
    <t>Nb inscrits total</t>
  </si>
  <si>
    <t>Capacité  groupe</t>
  </si>
  <si>
    <t>Portage extérieur</t>
  </si>
  <si>
    <t>Mention, parcours, établissement extérieur porteur</t>
  </si>
  <si>
    <t>Nb de groupes</t>
  </si>
  <si>
    <t xml:space="preserve">Nb d'heures effectives enseigement pédagogique </t>
  </si>
  <si>
    <t>Nb d'heures d'accompagnement</t>
  </si>
  <si>
    <t>Total heures effectives</t>
  </si>
  <si>
    <t>Total HETD</t>
  </si>
  <si>
    <t>Enseignants titulaires</t>
  </si>
  <si>
    <t>Enseignants non titulaires</t>
  </si>
  <si>
    <t xml:space="preserve">Vacataires </t>
  </si>
  <si>
    <t xml:space="preserve">Total heures effectives </t>
  </si>
  <si>
    <t>Commentaires et mode de calcul de l'accompagnement</t>
  </si>
  <si>
    <t xml:space="preserve">Nb d'heures étudiant proratisé </t>
  </si>
  <si>
    <t>Nb d'heures tous apprenants</t>
  </si>
  <si>
    <t>Semestre 1</t>
  </si>
  <si>
    <t>Economie Sociale et Solidaire Histoire et acteurs</t>
  </si>
  <si>
    <t>Obligatoire</t>
  </si>
  <si>
    <t>TD</t>
  </si>
  <si>
    <t>Non</t>
  </si>
  <si>
    <t>Gouvernance des organisations de l'ESS</t>
  </si>
  <si>
    <t>Sociologie des OESS</t>
  </si>
  <si>
    <t>CM</t>
  </si>
  <si>
    <t>Mut</t>
  </si>
  <si>
    <t>Méthodologie de projet dans l'ESS</t>
    <phoneticPr fontId="0" type="noConversion"/>
  </si>
  <si>
    <t>Evaluation et création de valeurs</t>
  </si>
  <si>
    <t>Entrepreneuriat en ESS</t>
  </si>
  <si>
    <t xml:space="preserve">Approches européennes et comparatives de l'ESS </t>
  </si>
  <si>
    <t>Jeu d'entreprise</t>
  </si>
  <si>
    <t>Environnement juridique et fiscalité des organisations de l'ESS</t>
  </si>
  <si>
    <t>Analyse financière (audit social)</t>
  </si>
  <si>
    <t>Ressources humaines et éthique</t>
    <phoneticPr fontId="0" type="noConversion"/>
  </si>
  <si>
    <t>Ressources financières et éthique</t>
    <phoneticPr fontId="0" type="noConversion"/>
  </si>
  <si>
    <t>Socioéconomie des services</t>
  </si>
  <si>
    <t>Marketing et éthique</t>
    <phoneticPr fontId="0" type="noConversion"/>
  </si>
  <si>
    <t>Economie des territoires : acteurs, pratiques et politiques</t>
  </si>
  <si>
    <t>Territoire et démocratie locale</t>
  </si>
  <si>
    <t>Développement social local : fondements et pratiques</t>
  </si>
  <si>
    <t>Pratiques de collaboration sur les territoires</t>
  </si>
  <si>
    <t>Economie de l'environnement</t>
  </si>
  <si>
    <t>Développement durable : théorie et pratique</t>
  </si>
  <si>
    <t xml:space="preserve">Economie circulaire </t>
  </si>
  <si>
    <t>RSO</t>
  </si>
  <si>
    <t>Anglais opérationnel</t>
  </si>
  <si>
    <r>
      <t>Méthodologie</t>
    </r>
    <r>
      <rPr>
        <sz val="11"/>
        <rFont val="Calibri"/>
        <family val="2"/>
      </rPr>
      <t xml:space="preserve"> du mémoire</t>
    </r>
  </si>
  <si>
    <t>Analyse de la pratique</t>
  </si>
  <si>
    <t>Projet personnel et professionnel</t>
  </si>
  <si>
    <t>Semestre 2</t>
  </si>
  <si>
    <t>Stage</t>
  </si>
  <si>
    <t>ALTSUIV</t>
  </si>
  <si>
    <t>Semestre 3</t>
  </si>
  <si>
    <t>Semestre 4</t>
  </si>
  <si>
    <t>Semestre 5</t>
  </si>
  <si>
    <t>Semestre 6</t>
  </si>
  <si>
    <t>RECETTES ET SIMULATIONS</t>
  </si>
  <si>
    <t>Etablissement</t>
  </si>
  <si>
    <t>Université Lumière Lyon 2</t>
  </si>
  <si>
    <t>Type de formation</t>
  </si>
  <si>
    <t>Master</t>
  </si>
  <si>
    <t>RNCP / RS</t>
  </si>
  <si>
    <t>En cours</t>
  </si>
  <si>
    <t>Nom de la formation</t>
  </si>
  <si>
    <t>GOESS</t>
  </si>
  <si>
    <t xml:space="preserve">Nombre d'inscrits total
</t>
  </si>
  <si>
    <t>Composante</t>
  </si>
  <si>
    <t>SEG - Sciences Economiques et de Gestion</t>
  </si>
  <si>
    <t>Cellules à saisir manuellement</t>
  </si>
  <si>
    <t>Nombre d'inscrits payants</t>
  </si>
  <si>
    <t>Année scolaire considérée</t>
  </si>
  <si>
    <t>Rappel de la part à financer au titre de la formation initiale</t>
  </si>
  <si>
    <t>Rappel du résultat pour la part autofinancée</t>
  </si>
  <si>
    <t>Avec absentéisme</t>
  </si>
  <si>
    <t>Rappel du coût moyen par étudiant FC</t>
  </si>
  <si>
    <t>Rappel du résultat total</t>
  </si>
  <si>
    <t>Sans absentisme</t>
  </si>
  <si>
    <t>DROITS D'INSCRIPTION</t>
  </si>
  <si>
    <t>Tarif</t>
  </si>
  <si>
    <t>Type de dispositif</t>
  </si>
  <si>
    <t>Tarif de la formation</t>
  </si>
  <si>
    <t>Nombre inscrits</t>
  </si>
  <si>
    <t>Total</t>
  </si>
  <si>
    <t>Tarif horaire</t>
  </si>
  <si>
    <t>Taux d'absentéisme (en %)</t>
  </si>
  <si>
    <t>Recettes (avec absentéisme)</t>
  </si>
  <si>
    <t>Tarif horaire avec absentéisme</t>
  </si>
  <si>
    <t>Commentaire/description du tarif</t>
  </si>
  <si>
    <t>Contrat de professionnalisation</t>
  </si>
  <si>
    <t>FORMATION INITIALE</t>
  </si>
  <si>
    <t>Contrat d'apprentissage</t>
  </si>
  <si>
    <t>Droits d'inscription nationaux</t>
  </si>
  <si>
    <t>FINANCEMENTS PROPRES</t>
  </si>
  <si>
    <t>TARIF 1</t>
  </si>
  <si>
    <t>TARIF 2</t>
  </si>
  <si>
    <t>TARIF 3</t>
  </si>
  <si>
    <t>TARIF 4</t>
  </si>
  <si>
    <t>TARIF 5</t>
  </si>
  <si>
    <t>TARIF 6</t>
  </si>
  <si>
    <t>TARIF 7</t>
  </si>
  <si>
    <t>TARIF 8</t>
  </si>
  <si>
    <t>TARIF 9</t>
  </si>
  <si>
    <t>TARIF 10</t>
  </si>
  <si>
    <t>Total droits d'inscription payés</t>
  </si>
  <si>
    <t>SUBVENTIONS (hors SCSP)</t>
  </si>
  <si>
    <t>Type de subvention</t>
  </si>
  <si>
    <t>Financeur</t>
  </si>
  <si>
    <t>Montant</t>
  </si>
  <si>
    <t>Commentaire</t>
  </si>
  <si>
    <t>Total subventions</t>
  </si>
  <si>
    <t>Types d'enseignements</t>
  </si>
  <si>
    <t>Liste des composantes</t>
  </si>
  <si>
    <t>Heures effectives</t>
  </si>
  <si>
    <t>HETD</t>
  </si>
  <si>
    <t>Cours magistral</t>
  </si>
  <si>
    <t>ASSP - Anthropologie, Sociologie, Scienes Poliques</t>
  </si>
  <si>
    <t>Travaux dirigés</t>
  </si>
  <si>
    <t>CIEF - Centre International d'Etudes Françaises</t>
  </si>
  <si>
    <t>Travaux pratiques</t>
  </si>
  <si>
    <t>TP</t>
  </si>
  <si>
    <t>FJVD - Faculté de Droit Julie-Victoire Daubié</t>
  </si>
  <si>
    <t>Stage (suivi)</t>
  </si>
  <si>
    <t>STSUIV</t>
  </si>
  <si>
    <t>ICOM - Institut de Communication</t>
  </si>
  <si>
    <t>Stage (TD)</t>
  </si>
  <si>
    <t>STTD</t>
  </si>
  <si>
    <t>IETL - Institut d'Etudes du Travail de Lyon</t>
  </si>
  <si>
    <t>Stage (CM)</t>
  </si>
  <si>
    <t>STCM</t>
  </si>
  <si>
    <t>ISPEF - Institut des Sciences et Pratiques d'Education de la Formation</t>
  </si>
  <si>
    <t>Alternance (suivi)</t>
  </si>
  <si>
    <t>IUT - Institut Universitaire de Technologie Lumière</t>
  </si>
  <si>
    <t>Alternance (TD)</t>
  </si>
  <si>
    <t>ALTTD</t>
  </si>
  <si>
    <t>LANG - Langues</t>
  </si>
  <si>
    <t>Alternance (CM)</t>
  </si>
  <si>
    <t>ALTCM</t>
  </si>
  <si>
    <t>LESLA - Lettres, Sciences du Langage et Arts</t>
  </si>
  <si>
    <t>Projet (suivi)</t>
  </si>
  <si>
    <t>PROJSUIV</t>
  </si>
  <si>
    <t>PSYCHO - Institut de psychologie</t>
  </si>
  <si>
    <t>Projet (TD)</t>
  </si>
  <si>
    <t>PROJTD</t>
  </si>
  <si>
    <t>Projet (CM)</t>
  </si>
  <si>
    <t>PROJCM</t>
  </si>
  <si>
    <t>TT - Temps et Territoires</t>
  </si>
  <si>
    <t>Mémoire de recherche (suivi)</t>
  </si>
  <si>
    <t>MEMSUIV</t>
  </si>
  <si>
    <t>Mémoire de recherche (TD)</t>
  </si>
  <si>
    <t>MEMTD</t>
  </si>
  <si>
    <t>Mémoire de recherche (CM)</t>
  </si>
  <si>
    <t>MEMCM</t>
  </si>
  <si>
    <t>Formation à distance</t>
  </si>
  <si>
    <t>FOAD</t>
  </si>
  <si>
    <t>Sortie pédagogique (suivi)</t>
  </si>
  <si>
    <t>SPSUIV</t>
  </si>
  <si>
    <t>Sortie pédagogique (TD)</t>
  </si>
  <si>
    <t>SPTD</t>
  </si>
  <si>
    <t>Sortie pédagogique (CM)</t>
  </si>
  <si>
    <t>SPCM</t>
  </si>
  <si>
    <t>Journée d'étude (suivi)</t>
  </si>
  <si>
    <t>JESUIV</t>
  </si>
  <si>
    <t>Journée d'étude (TD)</t>
  </si>
  <si>
    <t>JETD</t>
  </si>
  <si>
    <t>Journée d'étude (CM)</t>
  </si>
  <si>
    <t>JECM</t>
  </si>
  <si>
    <t>BUDGET PREVISIONNEL</t>
  </si>
  <si>
    <t>REPARTITION EN CAS DE PARTENARIAT</t>
  </si>
  <si>
    <t>Formation</t>
  </si>
  <si>
    <t>DEPENSES</t>
  </si>
  <si>
    <t>A</t>
  </si>
  <si>
    <t>REALISATION, PREPARATION DES ENSEIGNEMENTS et CHARGES SPECIFIQUES A CETTE FORMATION</t>
  </si>
  <si>
    <t>Nombre d'Heures à payer (HETD)</t>
  </si>
  <si>
    <t>Coût horaire</t>
  </si>
  <si>
    <t>TOTAL</t>
  </si>
  <si>
    <t>Part financée par SCSP (FI)</t>
  </si>
  <si>
    <t>Part financée sur ressources propres (FTLV)</t>
  </si>
  <si>
    <t>Lyon 2</t>
  </si>
  <si>
    <t>Partenaire 1</t>
  </si>
  <si>
    <t>Partenaire 2</t>
  </si>
  <si>
    <t>Partenaire 3</t>
  </si>
  <si>
    <t>CHARGES DIRECTES DE PERSONNEL</t>
  </si>
  <si>
    <t>du CA</t>
  </si>
  <si>
    <t>A.1</t>
  </si>
  <si>
    <t>ENSEIGNEMENT DISCIPLINAIRE</t>
  </si>
  <si>
    <t>A. 1.1</t>
  </si>
  <si>
    <t>A. 1.2</t>
  </si>
  <si>
    <t>A. 1.3</t>
  </si>
  <si>
    <t>Vacataires</t>
  </si>
  <si>
    <t>A. 1.4</t>
  </si>
  <si>
    <t>Autres (à définir)</t>
  </si>
  <si>
    <t>TOTAL heures ETD enseignement disciplinaire</t>
  </si>
  <si>
    <t>Accompagnement projet</t>
  </si>
  <si>
    <t>Visite en stage</t>
  </si>
  <si>
    <t>Sorties pédagogiques / journées d'étude</t>
  </si>
  <si>
    <t>TOTAL heures accompagnement pédagogique</t>
  </si>
  <si>
    <t>Responsabilité diplôme</t>
  </si>
  <si>
    <t>TOTAL heures encadrement et pilotage du diplôme</t>
  </si>
  <si>
    <t>Nombre total d'heures intervenants</t>
  </si>
  <si>
    <t>Masse salariale intervenants par apprenant</t>
  </si>
  <si>
    <t>CHARGES DIRECTES DE FONCTIONNEMENT</t>
  </si>
  <si>
    <t>A.60</t>
  </si>
  <si>
    <t>Achat de petits materiels et fournitures</t>
  </si>
  <si>
    <t>A.61.1</t>
  </si>
  <si>
    <t>Indemnités d'occupations des locaux (locations &amp; fluides)</t>
  </si>
  <si>
    <t>A.61.2</t>
  </si>
  <si>
    <t>Autres services extérieurs</t>
  </si>
  <si>
    <t>A.62.1</t>
  </si>
  <si>
    <t>Communication et publicité</t>
  </si>
  <si>
    <t>A.62.2</t>
  </si>
  <si>
    <t>Frais déplacements/restauration globaux</t>
  </si>
  <si>
    <t>A.62.3</t>
  </si>
  <si>
    <t>Frais de deplacements/restauration liés aux visites (stage FI)</t>
  </si>
  <si>
    <t>A.62.4</t>
  </si>
  <si>
    <t>Frais de deplacements/restauration liés aux visites (apprentis)</t>
  </si>
  <si>
    <t>A.65</t>
  </si>
  <si>
    <t>Autres charges de gestion courantes</t>
  </si>
  <si>
    <t>A.68</t>
  </si>
  <si>
    <t>Amortissement des biens liés à la formation</t>
  </si>
  <si>
    <t>Charges de fonctionnement par apprenant</t>
  </si>
  <si>
    <t xml:space="preserve">TOTAL DES CHARGES DIRECTES </t>
  </si>
  <si>
    <t>Monant de charges directes par apprenant</t>
  </si>
  <si>
    <t>B</t>
  </si>
  <si>
    <t>CHARGES COMMUNES ET INDIRECTES</t>
  </si>
  <si>
    <t>Montant par apprenant</t>
  </si>
  <si>
    <t>Part financée sur ressources propres</t>
  </si>
  <si>
    <t>CHARGES INDIRECTES DE STOUTIEN</t>
  </si>
  <si>
    <t>B. 1.1</t>
  </si>
  <si>
    <t xml:space="preserve">Appui à la formation tout au long de la vie </t>
  </si>
  <si>
    <t>B. 1.2</t>
  </si>
  <si>
    <t>Appui à la formation</t>
  </si>
  <si>
    <t>B. 1.3</t>
  </si>
  <si>
    <t>Documentation</t>
  </si>
  <si>
    <t>B. 1.4</t>
  </si>
  <si>
    <t>Vie étudiante</t>
  </si>
  <si>
    <t>CHARGES INDIRECTES DE SUPPORT</t>
  </si>
  <si>
    <t>B. 2.1</t>
  </si>
  <si>
    <t>Gouvernance et pilotage</t>
  </si>
  <si>
    <t>B. 2.2</t>
  </si>
  <si>
    <t>Immobilier</t>
  </si>
  <si>
    <t>B.2.3</t>
  </si>
  <si>
    <t>Systèmes d'information et numériques</t>
  </si>
  <si>
    <t xml:space="preserve">TOTAL CHARGES INDIRECTES </t>
  </si>
  <si>
    <t>des dépenses</t>
  </si>
  <si>
    <t>Montant de charges indirectes par apprenant</t>
  </si>
  <si>
    <t xml:space="preserve">TOTAL DES DEPENSES </t>
  </si>
  <si>
    <t>Coût complet par apprenant</t>
  </si>
  <si>
    <t>Coût complet par heure d'enseignement</t>
  </si>
  <si>
    <t>RECETTES</t>
  </si>
  <si>
    <t>C</t>
  </si>
  <si>
    <t>SOURCES DE FINANCEMENT</t>
  </si>
  <si>
    <t>C.1.1</t>
  </si>
  <si>
    <t>Droits d'inscription</t>
  </si>
  <si>
    <t>C.1.2</t>
  </si>
  <si>
    <t>Subventions</t>
  </si>
  <si>
    <t xml:space="preserve">TOTAL DES RECETTES </t>
  </si>
  <si>
    <t>Recette moyenne par apprenant</t>
  </si>
  <si>
    <t>RESULTAT (avant prise en compte de la subvention pour charges de service publique)</t>
  </si>
  <si>
    <t>RESULTAT en valorisant les heures des titulaires au tarif heure complémentaire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</si>
</sst>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_-* #,##0.00\ _€_-;\-* #,##0.00\ _€_-;_-* &quot;-&quot;??\ _€_-;_-@_-"/>
    <numFmt numFmtId="165" formatCode="0.0"/>
    <numFmt numFmtId="166" formatCode="_-* #,##0.00\ &quot;BF&quot;_-;\-* #,##0.00\ &quot;BF&quot;_-;_-* &quot;-&quot;??\ &quot;BF&quot;_-;_-@_-"/>
    <numFmt numFmtId="167" formatCode="#,##0\ &quot;F&quot;"/>
    <numFmt numFmtId="168" formatCode="_-* #,##0.00\ _B_F_-;\-* #,##0.00\ _B_F_-;_-* &quot;-&quot;??\ _B_F_-;_-@_-"/>
    <numFmt numFmtId="169" formatCode="#,##0\ &quot;€&quot;"/>
    <numFmt numFmtId="170" formatCode="#,##0_ ;\-#,##0\ "/>
    <numFmt numFmtId="171" formatCode="_-* #,##0\ [$€]_-;\-* #,##0\ [$€]_-;_-* &quot;-&quot;??\ [$€]_-;_-@_-"/>
    <numFmt numFmtId="172" formatCode="_-* #,##0\ [$€-803]_-;\-* #,##0\ [$€-803]_-;_-* &quot;-&quot;??\ [$€-803]_-;_-@_-"/>
    <numFmt numFmtId="173" formatCode="#,##0.00_ ;\-#,##0.00\ "/>
    <numFmt numFmtId="174" formatCode="_-* #,##0\ &quot;€&quot;_-;\-* #,##0\ &quot;€&quot;_-;_-* &quot;-&quot;??\ &quot;€&quot;_-;_-@_-"/>
    <numFmt numFmtId="175" formatCode="#,##0.00\ &quot;€&quot;"/>
  </numFmts>
  <fonts count="36"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sz val="10"/>
      <name val="Calibri"/>
      <family val="2"/>
      <scheme val="minor"/>
    </font>
    <font>
      <b/>
      <sz val="10"/>
      <name val="Calibri"/>
      <family val="2"/>
      <scheme val="minor"/>
    </font>
    <font>
      <b/>
      <sz val="10"/>
      <color theme="0"/>
      <name val="Calibri"/>
      <family val="2"/>
      <scheme val="minor"/>
    </font>
    <font>
      <b/>
      <sz val="11"/>
      <color theme="0"/>
      <name val="Calibri"/>
      <family val="2"/>
      <scheme val="minor"/>
    </font>
    <font>
      <b/>
      <sz val="10"/>
      <name val="Arial"/>
      <family val="2"/>
    </font>
    <font>
      <u/>
      <sz val="10"/>
      <name val="Arial"/>
      <family val="2"/>
    </font>
    <font>
      <b/>
      <u/>
      <sz val="10"/>
      <name val="Arial"/>
      <family val="2"/>
    </font>
    <font>
      <i/>
      <sz val="9"/>
      <name val="Arial"/>
      <family val="2"/>
    </font>
    <font>
      <sz val="10"/>
      <color rgb="FFFF0000"/>
      <name val="Arial"/>
      <family val="2"/>
    </font>
    <font>
      <sz val="10"/>
      <color rgb="FF000000"/>
      <name val="Times New Roman"/>
      <family val="1"/>
    </font>
    <font>
      <sz val="9.5"/>
      <name val="Calibri"/>
      <family val="2"/>
      <scheme val="minor"/>
    </font>
    <font>
      <sz val="10"/>
      <color rgb="FF000000"/>
      <name val="Calibri"/>
      <family val="2"/>
      <scheme val="minor"/>
    </font>
    <font>
      <sz val="9"/>
      <name val="Calibri"/>
      <family val="2"/>
      <scheme val="minor"/>
    </font>
    <font>
      <b/>
      <sz val="10"/>
      <color rgb="FFFF0000"/>
      <name val="Arial"/>
      <family val="2"/>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b/>
      <sz val="12"/>
      <color theme="1"/>
      <name val="Calibri"/>
      <family val="2"/>
      <scheme val="minor"/>
    </font>
    <font>
      <sz val="10"/>
      <color theme="0"/>
      <name val="Calibri"/>
      <family val="2"/>
      <scheme val="minor"/>
    </font>
    <font>
      <sz val="10"/>
      <color theme="6" tint="0.79998168889431442"/>
      <name val="Calibri"/>
      <family val="2"/>
      <scheme val="minor"/>
    </font>
    <font>
      <b/>
      <sz val="9"/>
      <color indexed="81"/>
      <name val="Tahoma"/>
      <family val="2"/>
    </font>
    <font>
      <sz val="9"/>
      <color indexed="81"/>
      <name val="Tahoma"/>
      <family val="2"/>
    </font>
    <font>
      <sz val="10"/>
      <color indexed="62"/>
      <name val="Calibri"/>
      <family val="2"/>
      <scheme val="minor"/>
    </font>
    <font>
      <b/>
      <sz val="10"/>
      <color indexed="62"/>
      <name val="Calibri"/>
      <family val="2"/>
      <scheme val="minor"/>
    </font>
    <font>
      <b/>
      <sz val="10"/>
      <color rgb="FFFF0000"/>
      <name val="Calibri"/>
      <family val="2"/>
      <scheme val="minor"/>
    </font>
    <font>
      <sz val="10"/>
      <color rgb="FFFF0000"/>
      <name val="Calibri"/>
      <family val="2"/>
      <scheme val="minor"/>
    </font>
    <font>
      <sz val="11"/>
      <name val="Calibri"/>
      <family val="2"/>
    </font>
  </fonts>
  <fills count="12">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18F8F"/>
        <bgColor indexed="64"/>
      </patternFill>
    </fill>
    <fill>
      <patternFill patternType="solid">
        <fgColor rgb="FFFBE1E1"/>
        <bgColor indexed="64"/>
      </patternFill>
    </fill>
    <fill>
      <patternFill patternType="solid">
        <fgColor rgb="FFFAF0F0"/>
        <bgColor indexed="64"/>
      </patternFill>
    </fill>
    <fill>
      <patternFill patternType="solid">
        <fgColor theme="5" tint="0.59999389629810485"/>
        <bgColor indexed="64"/>
      </patternFill>
    </fill>
    <fill>
      <patternFill patternType="solid">
        <fgColor rgb="FFF8EDEC"/>
        <bgColor indexed="64"/>
      </patternFill>
    </fill>
    <fill>
      <patternFill patternType="solid">
        <fgColor rgb="FFF6B8B8"/>
        <bgColor indexed="64"/>
      </patternFill>
    </fill>
    <fill>
      <patternFill patternType="solid">
        <fgColor theme="0" tint="-0.14999847407452621"/>
        <bgColor indexed="64"/>
      </patternFill>
    </fill>
  </fills>
  <borders count="7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right style="thin">
        <color auto="1"/>
      </right>
      <top style="thin">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medium">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thin">
        <color auto="1"/>
      </right>
      <top style="thin">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style="thin">
        <color auto="1"/>
      </left>
      <right style="medium">
        <color indexed="64"/>
      </right>
      <top/>
      <bottom style="thin">
        <color auto="1"/>
      </bottom>
      <diagonal/>
    </border>
    <border>
      <left style="thin">
        <color auto="1"/>
      </left>
      <right style="thin">
        <color auto="1"/>
      </right>
      <top/>
      <bottom style="medium">
        <color indexed="64"/>
      </bottom>
      <diagonal/>
    </border>
    <border>
      <left/>
      <right style="medium">
        <color indexed="64"/>
      </right>
      <top/>
      <bottom style="thin">
        <color auto="1"/>
      </bottom>
      <diagonal/>
    </border>
    <border>
      <left/>
      <right style="thin">
        <color auto="1"/>
      </right>
      <top style="medium">
        <color auto="1"/>
      </top>
      <bottom style="medium">
        <color auto="1"/>
      </bottom>
      <diagonal/>
    </border>
    <border>
      <left/>
      <right style="medium">
        <color auto="1"/>
      </right>
      <top/>
      <bottom style="medium">
        <color auto="1"/>
      </bottom>
      <diagonal/>
    </border>
    <border>
      <left/>
      <right style="thin">
        <color indexed="64"/>
      </right>
      <top style="medium">
        <color auto="1"/>
      </top>
      <bottom style="thin">
        <color auto="1"/>
      </bottom>
      <diagonal/>
    </border>
    <border>
      <left/>
      <right style="thin">
        <color auto="1"/>
      </right>
      <top/>
      <bottom style="medium">
        <color auto="1"/>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right style="thin">
        <color auto="1"/>
      </right>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style="medium">
        <color indexed="64"/>
      </right>
      <top style="thin">
        <color auto="1"/>
      </top>
      <bottom style="medium">
        <color auto="1"/>
      </bottom>
      <diagonal/>
    </border>
    <border>
      <left style="medium">
        <color indexed="64"/>
      </left>
      <right/>
      <top/>
      <bottom style="medium">
        <color auto="1"/>
      </bottom>
      <diagonal/>
    </border>
    <border>
      <left style="thin">
        <color auto="1"/>
      </left>
      <right style="medium">
        <color indexed="64"/>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style="medium">
        <color indexed="64"/>
      </top>
      <bottom/>
      <diagonal/>
    </border>
    <border>
      <left style="medium">
        <color auto="1"/>
      </left>
      <right style="medium">
        <color auto="1"/>
      </right>
      <top/>
      <bottom/>
      <diagonal/>
    </border>
    <border>
      <left style="thin">
        <color auto="1"/>
      </left>
      <right style="medium">
        <color indexed="64"/>
      </right>
      <top style="thin">
        <color auto="1"/>
      </top>
      <bottom/>
      <diagonal/>
    </border>
    <border>
      <left style="thin">
        <color auto="1"/>
      </left>
      <right/>
      <top style="medium">
        <color indexed="64"/>
      </top>
      <bottom style="thin">
        <color auto="1"/>
      </bottom>
      <diagonal/>
    </border>
    <border>
      <left/>
      <right style="medium">
        <color auto="1"/>
      </right>
      <top style="medium">
        <color indexed="64"/>
      </top>
      <bottom style="thin">
        <color auto="1"/>
      </bottom>
      <diagonal/>
    </border>
    <border>
      <left style="medium">
        <color auto="1"/>
      </left>
      <right style="medium">
        <color auto="1"/>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thin">
        <color auto="1"/>
      </left>
      <right/>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auto="1"/>
      </left>
      <right/>
      <top style="medium">
        <color auto="1"/>
      </top>
      <bottom/>
      <diagonal/>
    </border>
    <border>
      <left style="thin">
        <color auto="1"/>
      </left>
      <right/>
      <top/>
      <bottom/>
      <diagonal/>
    </border>
    <border>
      <left style="medium">
        <color auto="1"/>
      </left>
      <right/>
      <top style="thin">
        <color auto="1"/>
      </top>
      <bottom/>
      <diagonal/>
    </border>
    <border>
      <left style="thin">
        <color auto="1"/>
      </left>
      <right/>
      <top/>
      <bottom style="medium">
        <color auto="1"/>
      </bottom>
      <diagonal/>
    </border>
  </borders>
  <cellStyleXfs count="17">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16" fillId="0" borderId="0"/>
    <xf numFmtId="166" fontId="3" fillId="0" borderId="0" applyFont="0" applyFill="0" applyBorder="0" applyAlignment="0" applyProtection="0"/>
    <xf numFmtId="168" fontId="3" fillId="0" borderId="0" applyFont="0" applyFill="0" applyBorder="0" applyAlignment="0" applyProtection="0"/>
    <xf numFmtId="44" fontId="3" fillId="0" borderId="0" applyFont="0" applyFill="0" applyBorder="0" applyAlignment="0" applyProtection="0"/>
  </cellStyleXfs>
  <cellXfs count="550">
    <xf numFmtId="0" fontId="0" fillId="0" borderId="0" xfId="0"/>
    <xf numFmtId="0" fontId="0" fillId="2" borderId="0" xfId="0" applyFill="1" applyAlignment="1">
      <alignment vertical="center"/>
    </xf>
    <xf numFmtId="0" fontId="3" fillId="2" borderId="0" xfId="0" applyFont="1" applyFill="1" applyAlignment="1">
      <alignment vertical="center"/>
    </xf>
    <xf numFmtId="0" fontId="3" fillId="2" borderId="0" xfId="0" applyFont="1" applyFill="1" applyAlignment="1">
      <alignment vertical="top" wrapText="1"/>
    </xf>
    <xf numFmtId="0" fontId="0" fillId="2" borderId="0" xfId="0" applyFill="1" applyAlignment="1">
      <alignment vertical="top" wrapText="1"/>
    </xf>
    <xf numFmtId="0" fontId="0" fillId="2" borderId="0" xfId="0" applyFill="1" applyAlignment="1">
      <alignment vertical="top"/>
    </xf>
    <xf numFmtId="0" fontId="11" fillId="2" borderId="0" xfId="0" applyFont="1" applyFill="1" applyAlignment="1">
      <alignment vertical="top" wrapText="1"/>
    </xf>
    <xf numFmtId="0" fontId="3" fillId="2" borderId="0" xfId="0" applyFont="1" applyFill="1" applyAlignment="1">
      <alignment vertical="center" wrapText="1"/>
    </xf>
    <xf numFmtId="0" fontId="14" fillId="2" borderId="0" xfId="0" applyFont="1" applyFill="1" applyAlignment="1">
      <alignment vertical="top" wrapText="1"/>
    </xf>
    <xf numFmtId="0" fontId="15" fillId="2" borderId="0" xfId="0" applyFont="1" applyFill="1" applyAlignment="1">
      <alignment vertical="top" wrapText="1"/>
    </xf>
    <xf numFmtId="0" fontId="13" fillId="2" borderId="0" xfId="0" applyFont="1" applyFill="1" applyAlignment="1">
      <alignment vertical="top"/>
    </xf>
    <xf numFmtId="0" fontId="13" fillId="2" borderId="0" xfId="0" applyFont="1" applyFill="1" applyAlignment="1">
      <alignment vertical="top" wrapText="1"/>
    </xf>
    <xf numFmtId="0" fontId="3" fillId="2" borderId="0" xfId="0" quotePrefix="1" applyFont="1" applyFill="1" applyAlignment="1">
      <alignment vertical="center" wrapText="1"/>
    </xf>
    <xf numFmtId="0" fontId="17" fillId="6" borderId="4" xfId="13" applyFont="1" applyFill="1" applyBorder="1" applyAlignment="1">
      <alignment horizontal="center" vertical="center" wrapText="1"/>
    </xf>
    <xf numFmtId="0" fontId="17" fillId="2" borderId="4" xfId="13" applyFont="1" applyFill="1" applyBorder="1" applyAlignment="1">
      <alignment horizontal="left" vertical="center" wrapText="1"/>
    </xf>
    <xf numFmtId="0" fontId="19" fillId="0" borderId="4" xfId="0" applyFont="1" applyBorder="1" applyAlignment="1">
      <alignment vertical="center"/>
    </xf>
    <xf numFmtId="0" fontId="19" fillId="0" borderId="4" xfId="0" applyFont="1" applyBorder="1" applyAlignment="1">
      <alignment vertical="center" wrapText="1"/>
    </xf>
    <xf numFmtId="0" fontId="17" fillId="6" borderId="4" xfId="13" applyFont="1" applyFill="1" applyBorder="1" applyAlignment="1">
      <alignment horizontal="left" vertical="center" wrapText="1"/>
    </xf>
    <xf numFmtId="0" fontId="0" fillId="6" borderId="4" xfId="0" applyFill="1" applyBorder="1"/>
    <xf numFmtId="0" fontId="17" fillId="2" borderId="5" xfId="13" applyFont="1" applyFill="1" applyBorder="1" applyAlignment="1">
      <alignment horizontal="left" vertical="center" wrapText="1"/>
    </xf>
    <xf numFmtId="0" fontId="17" fillId="2" borderId="5" xfId="13" applyFont="1" applyFill="1" applyBorder="1" applyAlignment="1">
      <alignment horizontal="center" vertical="center" wrapText="1"/>
    </xf>
    <xf numFmtId="0" fontId="8" fillId="5" borderId="1" xfId="0" applyFont="1" applyFill="1" applyBorder="1" applyAlignment="1">
      <alignment vertical="center"/>
    </xf>
    <xf numFmtId="0" fontId="8" fillId="5" borderId="2" xfId="0" applyFont="1" applyFill="1" applyBorder="1" applyAlignment="1">
      <alignment vertical="center"/>
    </xf>
    <xf numFmtId="0" fontId="9" fillId="3" borderId="4" xfId="0" applyFont="1" applyFill="1" applyBorder="1" applyAlignment="1">
      <alignment horizontal="center" vertical="center" wrapText="1"/>
    </xf>
    <xf numFmtId="0" fontId="18" fillId="6" borderId="5" xfId="13" applyFont="1" applyFill="1" applyBorder="1" applyAlignment="1">
      <alignment horizontal="left" vertical="center" wrapText="1"/>
    </xf>
    <xf numFmtId="0" fontId="18" fillId="6" borderId="4" xfId="13" applyFont="1" applyFill="1" applyBorder="1" applyAlignment="1">
      <alignment horizontal="left" vertical="center" wrapText="1"/>
    </xf>
    <xf numFmtId="0" fontId="18" fillId="6" borderId="4" xfId="13" applyFont="1" applyFill="1" applyBorder="1" applyAlignment="1">
      <alignment horizontal="center" vertical="center" wrapText="1"/>
    </xf>
    <xf numFmtId="0" fontId="8" fillId="5" borderId="3" xfId="0" applyFont="1" applyFill="1" applyBorder="1" applyAlignment="1">
      <alignment horizontal="center" vertical="center"/>
    </xf>
    <xf numFmtId="0" fontId="7" fillId="0" borderId="4" xfId="0" applyFont="1" applyBorder="1" applyAlignment="1">
      <alignment horizontal="center" vertical="center"/>
    </xf>
    <xf numFmtId="0" fontId="20" fillId="2" borderId="0" xfId="0" applyFont="1" applyFill="1" applyAlignment="1">
      <alignment horizontal="center" vertical="top" wrapText="1"/>
    </xf>
    <xf numFmtId="0" fontId="0" fillId="2" borderId="0" xfId="0" applyFill="1"/>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0" fillId="2" borderId="0" xfId="0" applyFill="1" applyAlignment="1">
      <alignment horizontal="center" vertical="center"/>
    </xf>
    <xf numFmtId="0" fontId="0" fillId="2" borderId="14" xfId="0" applyFill="1" applyBorder="1" applyAlignment="1">
      <alignment horizontal="center" vertical="center"/>
    </xf>
    <xf numFmtId="0" fontId="0" fillId="2" borderId="24" xfId="0" applyFill="1" applyBorder="1" applyAlignment="1">
      <alignment horizontal="center" vertical="center"/>
    </xf>
    <xf numFmtId="0" fontId="3" fillId="2" borderId="4" xfId="0" applyFont="1" applyFill="1" applyBorder="1" applyAlignment="1">
      <alignment horizontal="center" vertical="center"/>
    </xf>
    <xf numFmtId="0" fontId="21" fillId="2" borderId="0" xfId="0" applyFont="1" applyFill="1" applyAlignment="1">
      <alignment vertical="center" wrapText="1"/>
    </xf>
    <xf numFmtId="0" fontId="21" fillId="2" borderId="0" xfId="0" applyFont="1" applyFill="1" applyAlignment="1">
      <alignment vertical="center"/>
    </xf>
    <xf numFmtId="0" fontId="21" fillId="2" borderId="0" xfId="0" applyFont="1" applyFill="1" applyAlignment="1">
      <alignment horizontal="left" vertical="center"/>
    </xf>
    <xf numFmtId="0" fontId="23" fillId="2" borderId="0" xfId="10" applyFont="1" applyFill="1" applyAlignment="1">
      <alignment wrapText="1"/>
    </xf>
    <xf numFmtId="0" fontId="24" fillId="3" borderId="22" xfId="10" applyFont="1" applyFill="1" applyBorder="1" applyAlignment="1">
      <alignment horizontal="center" vertical="center" wrapText="1"/>
    </xf>
    <xf numFmtId="1" fontId="22" fillId="2" borderId="9" xfId="10" applyNumberFormat="1" applyFont="1" applyFill="1" applyBorder="1" applyAlignment="1">
      <alignment horizontal="center" vertical="center" wrapText="1"/>
    </xf>
    <xf numFmtId="0" fontId="23" fillId="7" borderId="5" xfId="10" applyFont="1" applyFill="1" applyBorder="1" applyAlignment="1">
      <alignment horizontal="center" vertical="center"/>
    </xf>
    <xf numFmtId="0" fontId="23" fillId="4" borderId="31" xfId="10" applyFont="1" applyFill="1" applyBorder="1" applyAlignment="1">
      <alignment horizontal="center" vertical="center"/>
    </xf>
    <xf numFmtId="0" fontId="23" fillId="7" borderId="45" xfId="10" applyFont="1" applyFill="1" applyBorder="1" applyAlignment="1">
      <alignment horizontal="center" vertical="center"/>
    </xf>
    <xf numFmtId="0" fontId="23" fillId="8" borderId="9" xfId="10" applyFont="1" applyFill="1" applyBorder="1" applyAlignment="1">
      <alignment horizontal="center" vertical="center"/>
    </xf>
    <xf numFmtId="0" fontId="21" fillId="8" borderId="10" xfId="9" applyNumberFormat="1" applyFont="1" applyFill="1" applyBorder="1" applyAlignment="1" applyProtection="1">
      <alignment horizontal="center" vertical="center"/>
    </xf>
    <xf numFmtId="0" fontId="25" fillId="8" borderId="10" xfId="10" applyFont="1" applyFill="1" applyBorder="1" applyAlignment="1">
      <alignment vertical="center"/>
    </xf>
    <xf numFmtId="1" fontId="21" fillId="8" borderId="9" xfId="9" applyNumberFormat="1" applyFont="1" applyFill="1" applyBorder="1" applyAlignment="1" applyProtection="1">
      <alignment horizontal="center" vertical="center"/>
    </xf>
    <xf numFmtId="0" fontId="21" fillId="8" borderId="20" xfId="9" applyNumberFormat="1" applyFont="1" applyFill="1" applyBorder="1" applyAlignment="1" applyProtection="1">
      <alignment horizontal="center" vertical="center"/>
    </xf>
    <xf numFmtId="0" fontId="23" fillId="8" borderId="36" xfId="10" applyFont="1" applyFill="1" applyBorder="1" applyAlignment="1">
      <alignment horizontal="center" vertical="center"/>
    </xf>
    <xf numFmtId="0" fontId="24" fillId="3" borderId="18" xfId="0" applyFont="1" applyFill="1" applyBorder="1" applyAlignment="1">
      <alignment vertical="center"/>
    </xf>
    <xf numFmtId="0" fontId="24" fillId="3" borderId="38" xfId="0" applyFont="1" applyFill="1" applyBorder="1" applyAlignment="1">
      <alignment horizontal="center" vertical="center"/>
    </xf>
    <xf numFmtId="0" fontId="24" fillId="3" borderId="18" xfId="0" applyFont="1" applyFill="1" applyBorder="1" applyAlignment="1">
      <alignment horizontal="center" vertical="center"/>
    </xf>
    <xf numFmtId="165" fontId="24" fillId="3" borderId="18" xfId="0" applyNumberFormat="1" applyFont="1" applyFill="1" applyBorder="1" applyAlignment="1">
      <alignment horizontal="center" vertical="center"/>
    </xf>
    <xf numFmtId="1" fontId="24" fillId="3" borderId="32" xfId="0" applyNumberFormat="1" applyFont="1" applyFill="1" applyBorder="1" applyAlignment="1">
      <alignment horizontal="center" vertical="center"/>
    </xf>
    <xf numFmtId="0" fontId="21" fillId="2" borderId="0" xfId="0" applyFont="1" applyFill="1" applyAlignment="1">
      <alignment horizontal="right" vertical="center"/>
    </xf>
    <xf numFmtId="1" fontId="21" fillId="8" borderId="48" xfId="12" applyNumberFormat="1" applyFont="1" applyFill="1" applyBorder="1" applyAlignment="1" applyProtection="1">
      <alignment horizontal="center" vertical="center"/>
    </xf>
    <xf numFmtId="165" fontId="21" fillId="4" borderId="44" xfId="12" applyNumberFormat="1" applyFont="1" applyFill="1" applyBorder="1" applyAlignment="1" applyProtection="1">
      <alignment horizontal="center" vertical="center"/>
    </xf>
    <xf numFmtId="0" fontId="26" fillId="7" borderId="37" xfId="10" applyFont="1" applyFill="1" applyBorder="1" applyAlignment="1">
      <alignment horizontal="center" vertical="center"/>
    </xf>
    <xf numFmtId="1" fontId="21" fillId="0" borderId="22" xfId="9" applyNumberFormat="1" applyFont="1" applyBorder="1" applyAlignment="1" applyProtection="1">
      <alignment horizontal="center" vertical="center"/>
      <protection locked="0"/>
    </xf>
    <xf numFmtId="0" fontId="23" fillId="2" borderId="22" xfId="10" applyFont="1" applyFill="1" applyBorder="1" applyAlignment="1" applyProtection="1">
      <alignment horizontal="center" vertical="center"/>
      <protection locked="0"/>
    </xf>
    <xf numFmtId="0" fontId="25" fillId="2" borderId="4" xfId="10" applyFont="1" applyFill="1" applyBorder="1" applyAlignment="1" applyProtection="1">
      <alignment vertical="center"/>
      <protection locked="0"/>
    </xf>
    <xf numFmtId="1" fontId="21" fillId="0" borderId="4" xfId="9" applyNumberFormat="1" applyFont="1" applyBorder="1" applyAlignment="1" applyProtection="1">
      <alignment horizontal="center" vertical="center"/>
      <protection locked="0"/>
    </xf>
    <xf numFmtId="0" fontId="23" fillId="2" borderId="4" xfId="10" applyFont="1" applyFill="1" applyBorder="1" applyAlignment="1" applyProtection="1">
      <alignment horizontal="center" vertical="center"/>
      <protection locked="0"/>
    </xf>
    <xf numFmtId="0" fontId="25" fillId="2" borderId="21" xfId="10" applyFont="1" applyFill="1" applyBorder="1" applyAlignment="1" applyProtection="1">
      <alignment vertical="center"/>
      <protection locked="0"/>
    </xf>
    <xf numFmtId="0" fontId="23" fillId="0" borderId="21" xfId="10" applyFont="1" applyBorder="1" applyAlignment="1" applyProtection="1">
      <alignment horizontal="center" vertical="center"/>
      <protection locked="0"/>
    </xf>
    <xf numFmtId="0" fontId="21" fillId="0" borderId="7" xfId="9" applyNumberFormat="1" applyFont="1" applyBorder="1" applyAlignment="1" applyProtection="1">
      <alignment horizontal="center" vertical="center"/>
      <protection locked="0"/>
    </xf>
    <xf numFmtId="0" fontId="24" fillId="3" borderId="18" xfId="0" applyFont="1" applyFill="1" applyBorder="1" applyAlignment="1">
      <alignment horizontal="left" vertical="center"/>
    </xf>
    <xf numFmtId="0" fontId="23" fillId="0" borderId="40" xfId="10" applyFont="1" applyBorder="1" applyAlignment="1" applyProtection="1">
      <alignment horizontal="center" vertical="center"/>
      <protection locked="0"/>
    </xf>
    <xf numFmtId="0" fontId="23" fillId="0" borderId="45" xfId="10" applyFont="1" applyBorder="1" applyAlignment="1" applyProtection="1">
      <alignment horizontal="center" vertical="center"/>
      <protection locked="0"/>
    </xf>
    <xf numFmtId="0" fontId="23" fillId="0" borderId="2" xfId="10" applyFont="1" applyBorder="1" applyAlignment="1" applyProtection="1">
      <alignment horizontal="center" vertical="center"/>
      <protection locked="0"/>
    </xf>
    <xf numFmtId="0" fontId="23" fillId="0" borderId="47" xfId="10" applyFont="1" applyBorder="1" applyAlignment="1" applyProtection="1">
      <alignment horizontal="center" vertical="center"/>
      <protection locked="0"/>
    </xf>
    <xf numFmtId="165" fontId="22" fillId="2" borderId="36" xfId="10" applyNumberFormat="1" applyFont="1" applyFill="1" applyBorder="1" applyAlignment="1">
      <alignment horizontal="center" vertical="center" wrapText="1"/>
    </xf>
    <xf numFmtId="0" fontId="26" fillId="0" borderId="30" xfId="10" applyFont="1" applyBorder="1" applyAlignment="1" applyProtection="1">
      <alignment horizontal="center" vertical="center"/>
      <protection locked="0"/>
    </xf>
    <xf numFmtId="0" fontId="26" fillId="0" borderId="21" xfId="10" applyFont="1" applyBorder="1" applyAlignment="1" applyProtection="1">
      <alignment horizontal="center" vertical="center"/>
      <protection locked="0"/>
    </xf>
    <xf numFmtId="0" fontId="23" fillId="8" borderId="16" xfId="10" applyFont="1" applyFill="1" applyBorder="1" applyAlignment="1">
      <alignment horizontal="center" vertical="center"/>
    </xf>
    <xf numFmtId="0" fontId="10" fillId="3" borderId="29" xfId="10" applyFont="1" applyFill="1" applyBorder="1" applyAlignment="1">
      <alignment horizontal="center" vertical="center" wrapText="1"/>
    </xf>
    <xf numFmtId="1" fontId="22" fillId="2" borderId="16" xfId="10" applyNumberFormat="1" applyFont="1" applyFill="1" applyBorder="1" applyAlignment="1">
      <alignment horizontal="center" vertical="center" wrapText="1"/>
    </xf>
    <xf numFmtId="0" fontId="24" fillId="3" borderId="11" xfId="0" applyFont="1" applyFill="1" applyBorder="1" applyAlignment="1">
      <alignment horizontal="center" vertical="center"/>
    </xf>
    <xf numFmtId="0" fontId="23" fillId="0" borderId="3" xfId="10" applyFont="1" applyBorder="1" applyAlignment="1" applyProtection="1">
      <alignment horizontal="center" vertical="center"/>
      <protection locked="0"/>
    </xf>
    <xf numFmtId="165" fontId="23" fillId="8" borderId="10" xfId="10" applyNumberFormat="1" applyFont="1" applyFill="1" applyBorder="1" applyAlignment="1">
      <alignment horizontal="center" vertical="center"/>
    </xf>
    <xf numFmtId="165" fontId="26" fillId="8" borderId="9" xfId="10" applyNumberFormat="1" applyFont="1" applyFill="1" applyBorder="1" applyAlignment="1">
      <alignment horizontal="center" vertical="center"/>
    </xf>
    <xf numFmtId="165" fontId="24" fillId="3" borderId="12" xfId="0" applyNumberFormat="1" applyFont="1" applyFill="1" applyBorder="1" applyAlignment="1">
      <alignment horizontal="center" vertical="center"/>
    </xf>
    <xf numFmtId="0" fontId="25" fillId="2" borderId="15" xfId="10" applyFont="1" applyFill="1" applyBorder="1" applyAlignment="1" applyProtection="1">
      <alignment vertical="center"/>
      <protection locked="0"/>
    </xf>
    <xf numFmtId="0" fontId="25" fillId="2" borderId="14" xfId="10" applyFont="1" applyFill="1" applyBorder="1" applyAlignment="1" applyProtection="1">
      <alignment vertical="center"/>
      <protection locked="0"/>
    </xf>
    <xf numFmtId="0" fontId="21" fillId="0" borderId="50" xfId="9" applyNumberFormat="1" applyFont="1" applyBorder="1" applyAlignment="1" applyProtection="1">
      <alignment horizontal="center" vertical="center"/>
      <protection locked="0"/>
    </xf>
    <xf numFmtId="0" fontId="21" fillId="8" borderId="8" xfId="9" applyNumberFormat="1" applyFont="1" applyFill="1" applyBorder="1" applyAlignment="1" applyProtection="1">
      <alignment horizontal="center" vertical="center"/>
    </xf>
    <xf numFmtId="0" fontId="24" fillId="3" borderId="27" xfId="10" applyFont="1" applyFill="1" applyBorder="1" applyAlignment="1">
      <alignment horizontal="center" vertical="center" wrapText="1"/>
    </xf>
    <xf numFmtId="0" fontId="24" fillId="3" borderId="52" xfId="10" applyFont="1" applyFill="1" applyBorder="1" applyAlignment="1">
      <alignment horizontal="center" vertical="center" wrapText="1"/>
    </xf>
    <xf numFmtId="0" fontId="23" fillId="2" borderId="1" xfId="10" applyFont="1" applyFill="1" applyBorder="1" applyAlignment="1">
      <alignment horizontal="left" vertical="center"/>
    </xf>
    <xf numFmtId="0" fontId="23" fillId="2" borderId="2" xfId="10" applyFont="1" applyFill="1" applyBorder="1" applyAlignment="1">
      <alignment horizontal="left" vertical="center"/>
    </xf>
    <xf numFmtId="0" fontId="23" fillId="2" borderId="6" xfId="10" applyFont="1" applyFill="1" applyBorder="1" applyAlignment="1" applyProtection="1">
      <alignment horizontal="center" vertical="center" wrapText="1"/>
      <protection locked="0"/>
    </xf>
    <xf numFmtId="0" fontId="23" fillId="2" borderId="7" xfId="10" applyFont="1" applyFill="1" applyBorder="1" applyAlignment="1" applyProtection="1">
      <alignment horizontal="center" vertical="center" wrapText="1"/>
      <protection locked="0"/>
    </xf>
    <xf numFmtId="0" fontId="23" fillId="2" borderId="13" xfId="10" applyFont="1" applyFill="1" applyBorder="1" applyAlignment="1" applyProtection="1">
      <alignment horizontal="center" vertical="center" wrapText="1"/>
      <protection locked="0"/>
    </xf>
    <xf numFmtId="0" fontId="23" fillId="8" borderId="8" xfId="10" applyFont="1" applyFill="1" applyBorder="1" applyAlignment="1">
      <alignment horizontal="center" vertical="center" wrapText="1"/>
    </xf>
    <xf numFmtId="0" fontId="25" fillId="2" borderId="22" xfId="10" applyFont="1" applyFill="1" applyBorder="1" applyAlignment="1" applyProtection="1">
      <alignment vertical="center"/>
      <protection locked="0"/>
    </xf>
    <xf numFmtId="0" fontId="23" fillId="0" borderId="60" xfId="10" applyFont="1" applyBorder="1" applyAlignment="1" applyProtection="1">
      <alignment horizontal="center" vertical="center"/>
      <protection locked="0"/>
    </xf>
    <xf numFmtId="0" fontId="23" fillId="7" borderId="40" xfId="10" applyFont="1" applyFill="1" applyBorder="1" applyAlignment="1">
      <alignment horizontal="center" vertical="center"/>
    </xf>
    <xf numFmtId="0" fontId="23" fillId="0" borderId="30" xfId="10" applyFont="1" applyBorder="1" applyAlignment="1" applyProtection="1">
      <alignment horizontal="center" vertical="center"/>
      <protection locked="0"/>
    </xf>
    <xf numFmtId="0" fontId="23" fillId="7" borderId="22" xfId="10" applyFont="1" applyFill="1" applyBorder="1" applyAlignment="1">
      <alignment horizontal="center" vertical="center"/>
    </xf>
    <xf numFmtId="0" fontId="26" fillId="7" borderId="61" xfId="10" applyFont="1" applyFill="1" applyBorder="1" applyAlignment="1">
      <alignment horizontal="center" vertical="center"/>
    </xf>
    <xf numFmtId="165" fontId="21" fillId="4" borderId="62" xfId="12" applyNumberFormat="1" applyFont="1" applyFill="1" applyBorder="1" applyAlignment="1" applyProtection="1">
      <alignment horizontal="center" vertical="center"/>
    </xf>
    <xf numFmtId="0" fontId="23" fillId="4" borderId="61" xfId="10" applyFont="1" applyFill="1" applyBorder="1" applyAlignment="1">
      <alignment horizontal="center" vertical="center"/>
    </xf>
    <xf numFmtId="0" fontId="21" fillId="8" borderId="23" xfId="9" applyNumberFormat="1" applyFont="1" applyFill="1" applyBorder="1" applyAlignment="1" applyProtection="1">
      <alignment horizontal="center" vertical="center"/>
    </xf>
    <xf numFmtId="0" fontId="21" fillId="8" borderId="39" xfId="9" applyNumberFormat="1" applyFont="1" applyFill="1" applyBorder="1" applyAlignment="1" applyProtection="1">
      <alignment horizontal="left" vertical="center"/>
    </xf>
    <xf numFmtId="0" fontId="23" fillId="8" borderId="41" xfId="10" applyFont="1" applyFill="1" applyBorder="1" applyAlignment="1">
      <alignment horizontal="center" vertical="center"/>
    </xf>
    <xf numFmtId="0" fontId="26" fillId="8" borderId="56" xfId="10" applyFont="1" applyFill="1" applyBorder="1" applyAlignment="1">
      <alignment horizontal="center" vertical="center"/>
    </xf>
    <xf numFmtId="0" fontId="23" fillId="8" borderId="10" xfId="10" applyFont="1" applyFill="1" applyBorder="1" applyAlignment="1">
      <alignment horizontal="left" vertical="center"/>
    </xf>
    <xf numFmtId="0" fontId="23" fillId="8" borderId="23" xfId="10" applyFont="1" applyFill="1" applyBorder="1" applyAlignment="1">
      <alignment horizontal="left" vertical="center"/>
    </xf>
    <xf numFmtId="0" fontId="23" fillId="8" borderId="16" xfId="10" applyFont="1" applyFill="1" applyBorder="1" applyAlignment="1">
      <alignment horizontal="left" vertical="center"/>
    </xf>
    <xf numFmtId="165" fontId="21" fillId="8" borderId="63" xfId="12" applyNumberFormat="1" applyFont="1" applyFill="1" applyBorder="1" applyAlignment="1" applyProtection="1">
      <alignment horizontal="center" vertical="center"/>
    </xf>
    <xf numFmtId="0" fontId="25" fillId="8" borderId="16" xfId="10" applyFont="1" applyFill="1" applyBorder="1" applyAlignment="1">
      <alignment vertical="center"/>
    </xf>
    <xf numFmtId="0" fontId="26" fillId="8" borderId="51" xfId="10" applyFont="1" applyFill="1" applyBorder="1" applyAlignment="1">
      <alignment horizontal="center" vertical="center"/>
    </xf>
    <xf numFmtId="0" fontId="23" fillId="8" borderId="41" xfId="10" applyFont="1" applyFill="1" applyBorder="1" applyAlignment="1">
      <alignment horizontal="left" vertical="center"/>
    </xf>
    <xf numFmtId="1" fontId="24" fillId="3" borderId="12" xfId="0" applyNumberFormat="1" applyFont="1" applyFill="1" applyBorder="1" applyAlignment="1">
      <alignment horizontal="center" vertical="center"/>
    </xf>
    <xf numFmtId="0" fontId="24" fillId="3" borderId="60" xfId="10" applyFont="1" applyFill="1" applyBorder="1" applyAlignment="1">
      <alignment horizontal="center" vertical="center" wrapText="1"/>
    </xf>
    <xf numFmtId="1" fontId="22" fillId="2" borderId="10" xfId="10" applyNumberFormat="1" applyFont="1" applyFill="1" applyBorder="1" applyAlignment="1">
      <alignment horizontal="center" vertical="center" wrapText="1"/>
    </xf>
    <xf numFmtId="0" fontId="7" fillId="2" borderId="0" xfId="0" applyFont="1" applyFill="1" applyAlignment="1">
      <alignment vertical="center"/>
    </xf>
    <xf numFmtId="0" fontId="7" fillId="2" borderId="0" xfId="0" applyFont="1" applyFill="1" applyAlignment="1">
      <alignment horizontal="center" vertical="center"/>
    </xf>
    <xf numFmtId="167" fontId="7" fillId="2" borderId="0" xfId="14" applyNumberFormat="1" applyFont="1" applyFill="1" applyAlignment="1" applyProtection="1">
      <alignment vertical="center"/>
    </xf>
    <xf numFmtId="167" fontId="7" fillId="2" borderId="0" xfId="14" applyNumberFormat="1" applyFont="1" applyFill="1" applyAlignment="1" applyProtection="1">
      <alignment horizontal="center" vertical="center"/>
    </xf>
    <xf numFmtId="0" fontId="7" fillId="0" borderId="0" xfId="0" applyFont="1" applyAlignment="1">
      <alignment vertical="center"/>
    </xf>
    <xf numFmtId="0" fontId="8" fillId="2" borderId="0" xfId="0" applyFont="1" applyFill="1" applyAlignment="1">
      <alignment horizontal="right" vertical="center"/>
    </xf>
    <xf numFmtId="0" fontId="8" fillId="2" borderId="0" xfId="0" applyFont="1" applyFill="1" applyAlignment="1">
      <alignment horizontal="center" vertical="center"/>
    </xf>
    <xf numFmtId="0" fontId="7" fillId="9" borderId="4" xfId="0" applyFont="1" applyFill="1" applyBorder="1" applyAlignment="1" applyProtection="1">
      <alignment horizontal="center" vertical="center"/>
      <protection locked="0"/>
    </xf>
    <xf numFmtId="0" fontId="7" fillId="9" borderId="4" xfId="15" applyNumberFormat="1" applyFont="1" applyFill="1" applyBorder="1" applyAlignment="1" applyProtection="1">
      <alignment horizontal="center" vertical="center"/>
    </xf>
    <xf numFmtId="0" fontId="8" fillId="2" borderId="0" xfId="0" applyFont="1" applyFill="1" applyAlignment="1">
      <alignment horizontal="left" vertical="center"/>
    </xf>
    <xf numFmtId="0" fontId="7" fillId="9" borderId="4" xfId="15" applyNumberFormat="1"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8" fillId="2" borderId="0" xfId="0" applyFont="1" applyFill="1" applyAlignment="1">
      <alignment vertical="center"/>
    </xf>
    <xf numFmtId="169" fontId="8" fillId="2" borderId="4" xfId="0" applyNumberFormat="1" applyFont="1" applyFill="1" applyBorder="1" applyAlignment="1">
      <alignment vertical="center"/>
    </xf>
    <xf numFmtId="0" fontId="7" fillId="2" borderId="3" xfId="0" applyFont="1" applyFill="1" applyBorder="1" applyAlignment="1">
      <alignment vertical="center"/>
    </xf>
    <xf numFmtId="0" fontId="7" fillId="2" borderId="2" xfId="0" applyFont="1" applyFill="1" applyBorder="1" applyAlignment="1" applyProtection="1">
      <alignment horizontal="right" vertical="center"/>
      <protection locked="0"/>
    </xf>
    <xf numFmtId="0" fontId="7" fillId="2" borderId="2" xfId="0" applyFont="1" applyFill="1" applyBorder="1" applyAlignment="1">
      <alignment horizontal="right" vertical="center"/>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2" xfId="0" applyFont="1" applyFill="1" applyBorder="1" applyAlignment="1">
      <alignment horizontal="center" vertical="center"/>
    </xf>
    <xf numFmtId="0" fontId="27" fillId="2" borderId="0" xfId="0" applyFont="1" applyFill="1" applyAlignment="1">
      <alignment vertical="center"/>
    </xf>
    <xf numFmtId="0" fontId="7" fillId="2" borderId="16" xfId="0" applyFont="1" applyFill="1" applyBorder="1" applyAlignment="1">
      <alignment horizontal="center" vertical="center"/>
    </xf>
    <xf numFmtId="169" fontId="7" fillId="9" borderId="4" xfId="0" applyNumberFormat="1" applyFont="1" applyFill="1" applyBorder="1" applyAlignment="1" applyProtection="1">
      <alignment vertical="center"/>
      <protection locked="0"/>
    </xf>
    <xf numFmtId="0" fontId="7" fillId="2" borderId="4" xfId="0" applyFont="1" applyFill="1" applyBorder="1" applyAlignment="1">
      <alignment horizontal="center" vertical="center"/>
    </xf>
    <xf numFmtId="169" fontId="7" fillId="2" borderId="4" xfId="0" applyNumberFormat="1" applyFont="1" applyFill="1" applyBorder="1" applyAlignment="1">
      <alignment vertical="center"/>
    </xf>
    <xf numFmtId="169" fontId="7" fillId="11" borderId="3" xfId="0" applyNumberFormat="1" applyFont="1" applyFill="1" applyBorder="1" applyAlignment="1">
      <alignment vertical="center"/>
    </xf>
    <xf numFmtId="169" fontId="7" fillId="11" borderId="10" xfId="0" applyNumberFormat="1" applyFont="1" applyFill="1" applyBorder="1" applyAlignment="1">
      <alignment vertical="center"/>
    </xf>
    <xf numFmtId="169" fontId="7" fillId="11" borderId="16" xfId="0" applyNumberFormat="1" applyFont="1" applyFill="1" applyBorder="1" applyAlignment="1">
      <alignment vertical="center"/>
    </xf>
    <xf numFmtId="169" fontId="7" fillId="11" borderId="48" xfId="0" applyNumberFormat="1" applyFont="1" applyFill="1" applyBorder="1" applyAlignment="1">
      <alignment horizontal="center" vertical="center"/>
    </xf>
    <xf numFmtId="0" fontId="7" fillId="2" borderId="7" xfId="0" applyFont="1" applyFill="1" applyBorder="1" applyAlignment="1">
      <alignment vertical="center"/>
    </xf>
    <xf numFmtId="0" fontId="7" fillId="9" borderId="4" xfId="0" applyFont="1" applyFill="1" applyBorder="1" applyAlignment="1" applyProtection="1">
      <alignment vertical="center"/>
      <protection locked="0"/>
    </xf>
    <xf numFmtId="9" fontId="7" fillId="9" borderId="4" xfId="12" applyFont="1" applyFill="1" applyBorder="1" applyAlignment="1" applyProtection="1">
      <alignment horizontal="center" vertical="center"/>
      <protection locked="0"/>
    </xf>
    <xf numFmtId="0" fontId="7" fillId="2" borderId="28" xfId="0" applyFont="1" applyFill="1" applyBorder="1" applyAlignment="1">
      <alignment vertical="center"/>
    </xf>
    <xf numFmtId="0" fontId="7" fillId="9" borderId="21" xfId="0" applyFont="1" applyFill="1" applyBorder="1" applyAlignment="1" applyProtection="1">
      <alignment vertical="center"/>
      <protection locked="0"/>
    </xf>
    <xf numFmtId="169" fontId="7" fillId="9" borderId="21" xfId="0" applyNumberFormat="1" applyFont="1" applyFill="1" applyBorder="1" applyAlignment="1" applyProtection="1">
      <alignment vertical="center"/>
      <protection locked="0"/>
    </xf>
    <xf numFmtId="0" fontId="8" fillId="2" borderId="36" xfId="0" applyFont="1" applyFill="1" applyBorder="1" applyAlignment="1">
      <alignment horizontal="center" vertical="center"/>
    </xf>
    <xf numFmtId="0" fontId="8" fillId="2" borderId="16" xfId="0" applyFont="1" applyFill="1" applyBorder="1" applyAlignment="1">
      <alignment vertical="center"/>
    </xf>
    <xf numFmtId="169" fontId="8" fillId="2" borderId="36" xfId="0" applyNumberFormat="1" applyFont="1" applyFill="1" applyBorder="1" applyAlignment="1">
      <alignment vertical="center"/>
    </xf>
    <xf numFmtId="169" fontId="8" fillId="2" borderId="9" xfId="0" applyNumberFormat="1" applyFont="1" applyFill="1" applyBorder="1" applyAlignment="1">
      <alignment vertical="center"/>
    </xf>
    <xf numFmtId="169" fontId="8" fillId="2" borderId="0" xfId="0" applyNumberFormat="1" applyFont="1" applyFill="1" applyAlignment="1">
      <alignment vertical="center"/>
    </xf>
    <xf numFmtId="0" fontId="9" fillId="3" borderId="30" xfId="0" applyFont="1" applyFill="1" applyBorder="1" applyAlignment="1">
      <alignment horizontal="center" vertical="center" wrapText="1"/>
    </xf>
    <xf numFmtId="169" fontId="8" fillId="0" borderId="9" xfId="0" applyNumberFormat="1" applyFont="1" applyBorder="1" applyAlignment="1">
      <alignment vertical="center"/>
    </xf>
    <xf numFmtId="0" fontId="7" fillId="0" borderId="0" xfId="0" applyFont="1" applyAlignment="1">
      <alignment horizontal="center" vertical="center"/>
    </xf>
    <xf numFmtId="167" fontId="7" fillId="0" borderId="0" xfId="14" applyNumberFormat="1" applyFont="1" applyAlignment="1" applyProtection="1">
      <alignment vertical="center"/>
    </xf>
    <xf numFmtId="167" fontId="7" fillId="0" borderId="0" xfId="14" applyNumberFormat="1" applyFont="1" applyAlignment="1" applyProtection="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4" xfId="15" applyNumberFormat="1" applyFont="1" applyFill="1" applyBorder="1" applyAlignment="1" applyProtection="1">
      <alignment horizontal="center" vertical="center"/>
    </xf>
    <xf numFmtId="0" fontId="8" fillId="0" borderId="0" xfId="0" applyFont="1" applyAlignment="1">
      <alignment vertical="center"/>
    </xf>
    <xf numFmtId="0" fontId="7" fillId="2" borderId="0" xfId="0" applyFont="1" applyFill="1" applyAlignment="1">
      <alignment horizontal="left" vertical="center"/>
    </xf>
    <xf numFmtId="0" fontId="31" fillId="0" borderId="0" xfId="0" applyFont="1" applyAlignment="1">
      <alignment vertical="center"/>
    </xf>
    <xf numFmtId="0" fontId="32" fillId="0" borderId="0" xfId="0" applyFont="1" applyAlignment="1">
      <alignment horizontal="right" vertical="center" wrapText="1"/>
    </xf>
    <xf numFmtId="170" fontId="31" fillId="0" borderId="0" xfId="15" applyNumberFormat="1" applyFont="1" applyFill="1" applyBorder="1" applyAlignment="1" applyProtection="1">
      <alignment horizontal="center" vertical="center"/>
    </xf>
    <xf numFmtId="164" fontId="31" fillId="0" borderId="0" xfId="0" applyNumberFormat="1" applyFont="1" applyAlignment="1">
      <alignment horizontal="right" vertical="center"/>
    </xf>
    <xf numFmtId="171" fontId="7" fillId="2" borderId="0" xfId="0" applyNumberFormat="1" applyFont="1" applyFill="1" applyAlignment="1">
      <alignment horizontal="center" vertical="center"/>
    </xf>
    <xf numFmtId="0" fontId="9" fillId="3" borderId="19" xfId="0" applyFont="1" applyFill="1" applyBorder="1" applyAlignment="1">
      <alignment vertical="center"/>
    </xf>
    <xf numFmtId="0" fontId="9" fillId="3" borderId="18" xfId="0" applyFont="1" applyFill="1" applyBorder="1" applyAlignment="1">
      <alignment vertical="center"/>
    </xf>
    <xf numFmtId="0" fontId="9" fillId="3" borderId="34" xfId="0" applyFont="1" applyFill="1" applyBorder="1" applyAlignment="1">
      <alignment vertical="center"/>
    </xf>
    <xf numFmtId="0" fontId="9" fillId="2" borderId="19"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34"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30" xfId="0" applyFont="1" applyFill="1" applyBorder="1" applyAlignment="1">
      <alignment horizontal="center" vertical="center" wrapText="1"/>
    </xf>
    <xf numFmtId="167" fontId="8" fillId="2" borderId="30" xfId="14" applyNumberFormat="1" applyFont="1" applyFill="1" applyBorder="1" applyAlignment="1" applyProtection="1">
      <alignment horizontal="center" vertical="center" wrapText="1"/>
    </xf>
    <xf numFmtId="167" fontId="8" fillId="2" borderId="12" xfId="14" applyNumberFormat="1" applyFont="1" applyFill="1" applyBorder="1" applyAlignment="1" applyProtection="1">
      <alignment horizontal="center" vertical="center" wrapText="1"/>
    </xf>
    <xf numFmtId="167" fontId="8" fillId="2" borderId="34" xfId="14" applyNumberFormat="1" applyFont="1" applyFill="1" applyBorder="1" applyAlignment="1" applyProtection="1">
      <alignment horizontal="center" vertical="center" wrapText="1"/>
    </xf>
    <xf numFmtId="167" fontId="8" fillId="2" borderId="25" xfId="14" applyNumberFormat="1" applyFont="1" applyFill="1" applyBorder="1" applyAlignment="1" applyProtection="1">
      <alignment horizontal="center" vertical="center" wrapText="1"/>
      <protection locked="0"/>
    </xf>
    <xf numFmtId="167" fontId="8" fillId="2" borderId="12" xfId="14" applyNumberFormat="1" applyFont="1" applyFill="1" applyBorder="1" applyAlignment="1" applyProtection="1">
      <alignment horizontal="center" vertical="center" wrapText="1"/>
      <protection locked="0"/>
    </xf>
    <xf numFmtId="167" fontId="8" fillId="2" borderId="15" xfId="14" applyNumberFormat="1" applyFont="1" applyFill="1" applyBorder="1" applyAlignment="1" applyProtection="1">
      <alignment horizontal="center" vertical="center" wrapText="1"/>
      <protection locked="0"/>
    </xf>
    <xf numFmtId="167" fontId="8" fillId="2" borderId="32" xfId="14" applyNumberFormat="1" applyFont="1" applyFill="1" applyBorder="1" applyAlignment="1" applyProtection="1">
      <alignment horizontal="center" vertical="center" wrapText="1"/>
    </xf>
    <xf numFmtId="167" fontId="8" fillId="2" borderId="24" xfId="14" applyNumberFormat="1" applyFont="1" applyFill="1" applyBorder="1" applyAlignment="1" applyProtection="1">
      <alignment horizontal="center" vertical="center" wrapText="1"/>
    </xf>
    <xf numFmtId="167" fontId="8" fillId="2" borderId="0" xfId="14" applyNumberFormat="1" applyFont="1" applyFill="1" applyBorder="1" applyAlignment="1" applyProtection="1">
      <alignment horizontal="center" vertical="center" wrapText="1"/>
      <protection locked="0"/>
    </xf>
    <xf numFmtId="0" fontId="8" fillId="5" borderId="19" xfId="0" applyFont="1" applyFill="1" applyBorder="1" applyAlignment="1">
      <alignment vertical="center"/>
    </xf>
    <xf numFmtId="0" fontId="8" fillId="5" borderId="17" xfId="0" applyFont="1" applyFill="1" applyBorder="1" applyAlignment="1">
      <alignment vertical="center"/>
    </xf>
    <xf numFmtId="0" fontId="8" fillId="5" borderId="18" xfId="0" applyFont="1" applyFill="1" applyBorder="1" applyAlignment="1">
      <alignment vertical="center"/>
    </xf>
    <xf numFmtId="0" fontId="8" fillId="5" borderId="12" xfId="0" applyFont="1" applyFill="1" applyBorder="1" applyAlignment="1">
      <alignment horizontal="center" vertical="center"/>
    </xf>
    <xf numFmtId="172" fontId="8" fillId="5" borderId="12" xfId="0" applyNumberFormat="1" applyFont="1" applyFill="1" applyBorder="1" applyAlignment="1">
      <alignment vertical="center"/>
    </xf>
    <xf numFmtId="172" fontId="8" fillId="5" borderId="18" xfId="0" applyNumberFormat="1" applyFont="1" applyFill="1" applyBorder="1" applyAlignment="1">
      <alignment vertical="center"/>
    </xf>
    <xf numFmtId="172" fontId="8" fillId="5" borderId="17" xfId="0" applyNumberFormat="1" applyFont="1" applyFill="1" applyBorder="1" applyAlignment="1">
      <alignment vertical="center"/>
    </xf>
    <xf numFmtId="172" fontId="8" fillId="5" borderId="32" xfId="0" applyNumberFormat="1" applyFont="1" applyFill="1" applyBorder="1" applyAlignment="1">
      <alignment vertical="center"/>
    </xf>
    <xf numFmtId="172" fontId="8" fillId="5" borderId="11" xfId="0" applyNumberFormat="1" applyFont="1" applyFill="1" applyBorder="1" applyAlignment="1">
      <alignment vertical="center"/>
    </xf>
    <xf numFmtId="9" fontId="8" fillId="2" borderId="1" xfId="0" applyNumberFormat="1" applyFont="1" applyFill="1" applyBorder="1" applyAlignment="1">
      <alignment horizontal="center" vertical="center"/>
    </xf>
    <xf numFmtId="49" fontId="7" fillId="2" borderId="2" xfId="0" applyNumberFormat="1" applyFont="1" applyFill="1" applyBorder="1" applyAlignment="1" applyProtection="1">
      <alignment horizontal="left" vertical="center"/>
      <protection locked="0"/>
    </xf>
    <xf numFmtId="1" fontId="8" fillId="2" borderId="50" xfId="15" applyNumberFormat="1" applyFont="1" applyFill="1" applyBorder="1" applyAlignment="1" applyProtection="1">
      <alignment horizontal="left" vertical="center"/>
    </xf>
    <xf numFmtId="0" fontId="8" fillId="0" borderId="67" xfId="0" applyFont="1" applyBorder="1" applyAlignment="1">
      <alignment vertical="center"/>
    </xf>
    <xf numFmtId="0" fontId="8" fillId="0" borderId="15" xfId="0" applyFont="1" applyBorder="1" applyAlignment="1">
      <alignment vertical="center"/>
    </xf>
    <xf numFmtId="0" fontId="8" fillId="0" borderId="55" xfId="0" applyFont="1" applyBorder="1" applyAlignment="1">
      <alignment vertical="center"/>
    </xf>
    <xf numFmtId="173" fontId="8" fillId="0" borderId="55" xfId="0" applyNumberFormat="1" applyFont="1" applyBorder="1" applyAlignment="1">
      <alignment horizontal="center" vertical="center" wrapText="1"/>
    </xf>
    <xf numFmtId="174" fontId="8" fillId="0" borderId="55" xfId="16" applyNumberFormat="1" applyFont="1" applyFill="1" applyBorder="1" applyAlignment="1" applyProtection="1">
      <alignment vertical="center" wrapText="1"/>
    </xf>
    <xf numFmtId="174" fontId="8" fillId="0" borderId="61" xfId="16" applyNumberFormat="1" applyFont="1" applyFill="1" applyBorder="1" applyAlignment="1" applyProtection="1">
      <alignment vertical="center" wrapText="1"/>
    </xf>
    <xf numFmtId="174" fontId="8" fillId="0" borderId="54" xfId="16" applyNumberFormat="1" applyFont="1" applyFill="1" applyBorder="1" applyAlignment="1" applyProtection="1">
      <alignment vertical="center" wrapText="1"/>
    </xf>
    <xf numFmtId="171" fontId="33" fillId="2" borderId="0" xfId="0" applyNumberFormat="1" applyFont="1" applyFill="1" applyAlignment="1">
      <alignment horizontal="center" vertical="center" wrapText="1"/>
    </xf>
    <xf numFmtId="0" fontId="34" fillId="2" borderId="0" xfId="0" applyFont="1" applyFill="1" applyAlignment="1">
      <alignment vertical="center"/>
    </xf>
    <xf numFmtId="1" fontId="7" fillId="2" borderId="13" xfId="15" applyNumberFormat="1" applyFont="1" applyFill="1" applyBorder="1" applyAlignment="1" applyProtection="1">
      <alignment horizontal="left" vertical="center"/>
    </xf>
    <xf numFmtId="0" fontId="7" fillId="2" borderId="5" xfId="15" applyNumberFormat="1" applyFont="1" applyFill="1" applyBorder="1" applyAlignment="1" applyProtection="1">
      <alignment horizontal="center" vertical="center"/>
    </xf>
    <xf numFmtId="171" fontId="7" fillId="2" borderId="5" xfId="0" applyNumberFormat="1" applyFont="1" applyFill="1" applyBorder="1" applyAlignment="1">
      <alignment horizontal="center" vertical="center"/>
    </xf>
    <xf numFmtId="171" fontId="7" fillId="0" borderId="5" xfId="0" applyNumberFormat="1" applyFont="1" applyBorder="1" applyAlignment="1">
      <alignment horizontal="center" vertical="center"/>
    </xf>
    <xf numFmtId="171" fontId="7" fillId="0" borderId="37" xfId="0" applyNumberFormat="1" applyFont="1" applyBorder="1" applyAlignment="1">
      <alignment horizontal="center" vertical="center"/>
    </xf>
    <xf numFmtId="171" fontId="7" fillId="9" borderId="4" xfId="15" applyNumberFormat="1" applyFont="1" applyFill="1" applyBorder="1" applyAlignment="1" applyProtection="1">
      <alignment horizontal="center" vertical="center"/>
      <protection locked="0"/>
    </xf>
    <xf numFmtId="171" fontId="7" fillId="0" borderId="35" xfId="0" applyNumberFormat="1" applyFont="1" applyBorder="1" applyAlignment="1">
      <alignment horizontal="center" vertical="center"/>
    </xf>
    <xf numFmtId="1" fontId="27" fillId="2" borderId="0" xfId="0" applyNumberFormat="1" applyFont="1" applyFill="1" applyAlignment="1">
      <alignment vertical="center"/>
    </xf>
    <xf numFmtId="1" fontId="27" fillId="0" borderId="0" xfId="0" applyNumberFormat="1" applyFont="1" applyAlignment="1">
      <alignment vertical="center"/>
    </xf>
    <xf numFmtId="0" fontId="7" fillId="2" borderId="4" xfId="15" applyNumberFormat="1" applyFont="1" applyFill="1" applyBorder="1" applyAlignment="1" applyProtection="1">
      <alignment horizontal="center" vertical="center"/>
    </xf>
    <xf numFmtId="171" fontId="7" fillId="0" borderId="4" xfId="0" applyNumberFormat="1" applyFont="1" applyBorder="1" applyAlignment="1">
      <alignment horizontal="center" vertical="center"/>
    </xf>
    <xf numFmtId="171" fontId="7" fillId="0" borderId="33" xfId="0" applyNumberFormat="1" applyFont="1" applyBorder="1" applyAlignment="1">
      <alignment horizontal="center" vertical="center"/>
    </xf>
    <xf numFmtId="44" fontId="7" fillId="9" borderId="4" xfId="15" applyNumberFormat="1" applyFont="1" applyFill="1" applyBorder="1" applyAlignment="1" applyProtection="1">
      <alignment horizontal="right" vertical="center"/>
      <protection locked="0"/>
    </xf>
    <xf numFmtId="174" fontId="7" fillId="9" borderId="4" xfId="15" applyNumberFormat="1" applyFont="1" applyFill="1" applyBorder="1" applyAlignment="1" applyProtection="1">
      <alignment horizontal="center" vertical="center"/>
      <protection locked="0"/>
    </xf>
    <xf numFmtId="0" fontId="8" fillId="8" borderId="9" xfId="0" applyFont="1" applyFill="1" applyBorder="1" applyAlignment="1">
      <alignment horizontal="center" vertical="center"/>
    </xf>
    <xf numFmtId="174" fontId="8" fillId="8" borderId="9" xfId="0" applyNumberFormat="1" applyFont="1" applyFill="1" applyBorder="1" applyAlignment="1">
      <alignment vertical="center"/>
    </xf>
    <xf numFmtId="171" fontId="8" fillId="8" borderId="41" xfId="0" applyNumberFormat="1" applyFont="1" applyFill="1" applyBorder="1" applyAlignment="1">
      <alignment horizontal="center" vertical="center"/>
    </xf>
    <xf numFmtId="171" fontId="8" fillId="8" borderId="36" xfId="0" applyNumberFormat="1" applyFont="1" applyFill="1" applyBorder="1" applyAlignment="1">
      <alignment horizontal="center" vertical="center"/>
    </xf>
    <xf numFmtId="171" fontId="8" fillId="8" borderId="39" xfId="0" applyNumberFormat="1" applyFont="1" applyFill="1" applyBorder="1" applyAlignment="1">
      <alignment horizontal="center" vertical="center"/>
    </xf>
    <xf numFmtId="171" fontId="8" fillId="8" borderId="20" xfId="0" applyNumberFormat="1" applyFont="1" applyFill="1" applyBorder="1" applyAlignment="1">
      <alignment horizontal="center" vertical="center"/>
    </xf>
    <xf numFmtId="171" fontId="8" fillId="2" borderId="0" xfId="0" applyNumberFormat="1" applyFont="1" applyFill="1" applyAlignment="1">
      <alignment horizontal="center" vertical="center"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171" fontId="8" fillId="8" borderId="8" xfId="0" applyNumberFormat="1" applyFont="1" applyFill="1" applyBorder="1" applyAlignment="1">
      <alignment horizontal="center" vertical="center"/>
    </xf>
    <xf numFmtId="171" fontId="8" fillId="8" borderId="23" xfId="0" applyNumberFormat="1" applyFont="1" applyFill="1" applyBorder="1" applyAlignment="1">
      <alignment horizontal="center" vertical="center"/>
    </xf>
    <xf numFmtId="171" fontId="8" fillId="8" borderId="9" xfId="0" applyNumberFormat="1" applyFont="1" applyFill="1" applyBorder="1" applyAlignment="1">
      <alignment horizontal="center" vertical="center"/>
    </xf>
    <xf numFmtId="1" fontId="8" fillId="2" borderId="13" xfId="15" applyNumberFormat="1" applyFont="1" applyFill="1" applyBorder="1" applyAlignment="1" applyProtection="1">
      <alignment horizontal="left" vertical="center"/>
    </xf>
    <xf numFmtId="0" fontId="8" fillId="0" borderId="68" xfId="0" applyFont="1" applyBorder="1" applyAlignment="1">
      <alignment vertical="center"/>
    </xf>
    <xf numFmtId="0" fontId="8" fillId="0" borderId="24" xfId="0" applyFont="1" applyBorder="1" applyAlignment="1">
      <alignment vertical="center"/>
    </xf>
    <xf numFmtId="173" fontId="8" fillId="0" borderId="24" xfId="0" applyNumberFormat="1" applyFont="1" applyBorder="1" applyAlignment="1">
      <alignment horizontal="center" vertical="center" wrapText="1"/>
    </xf>
    <xf numFmtId="174" fontId="8" fillId="0" borderId="24" xfId="16" applyNumberFormat="1" applyFont="1" applyFill="1" applyBorder="1" applyAlignment="1" applyProtection="1">
      <alignment vertical="center" wrapText="1"/>
    </xf>
    <xf numFmtId="174" fontId="8" fillId="0" borderId="37" xfId="16" applyNumberFormat="1" applyFont="1" applyFill="1" applyBorder="1" applyAlignment="1" applyProtection="1">
      <alignment vertical="center" wrapText="1"/>
    </xf>
    <xf numFmtId="174" fontId="8" fillId="0" borderId="25" xfId="16" applyNumberFormat="1" applyFont="1" applyFill="1" applyBorder="1" applyAlignment="1" applyProtection="1">
      <alignment vertical="center" wrapText="1"/>
    </xf>
    <xf numFmtId="174" fontId="8" fillId="0" borderId="15" xfId="16" applyNumberFormat="1" applyFont="1" applyFill="1" applyBorder="1" applyAlignment="1" applyProtection="1">
      <alignment vertical="center" wrapText="1"/>
    </xf>
    <xf numFmtId="174" fontId="8" fillId="0" borderId="42" xfId="16" applyNumberFormat="1" applyFont="1" applyFill="1" applyBorder="1" applyAlignment="1" applyProtection="1">
      <alignment vertical="center" wrapText="1"/>
    </xf>
    <xf numFmtId="1" fontId="34" fillId="2" borderId="0" xfId="0" applyNumberFormat="1" applyFont="1" applyFill="1" applyAlignment="1">
      <alignment vertical="center"/>
    </xf>
    <xf numFmtId="1" fontId="7" fillId="2" borderId="0" xfId="0" applyNumberFormat="1" applyFont="1" applyFill="1" applyAlignment="1">
      <alignment vertical="center"/>
    </xf>
    <xf numFmtId="1" fontId="34" fillId="0" borderId="0" xfId="0" applyNumberFormat="1" applyFont="1" applyAlignment="1">
      <alignment vertical="center"/>
    </xf>
    <xf numFmtId="174" fontId="7" fillId="0" borderId="4" xfId="0" applyNumberFormat="1" applyFont="1" applyBorder="1" applyAlignment="1">
      <alignment vertical="center"/>
    </xf>
    <xf numFmtId="171" fontId="7" fillId="9" borderId="7" xfId="15" applyNumberFormat="1" applyFont="1" applyFill="1" applyBorder="1" applyAlignment="1" applyProtection="1">
      <alignment horizontal="center" vertical="center"/>
      <protection locked="0"/>
    </xf>
    <xf numFmtId="0" fontId="27" fillId="0" borderId="0" xfId="0" applyFont="1" applyAlignment="1">
      <alignment vertical="center"/>
    </xf>
    <xf numFmtId="0" fontId="7" fillId="0" borderId="3" xfId="0" applyFont="1" applyBorder="1" applyAlignment="1">
      <alignment horizontal="left" vertical="center" wrapText="1"/>
    </xf>
    <xf numFmtId="0" fontId="7" fillId="9" borderId="21" xfId="15" applyNumberFormat="1" applyFont="1" applyFill="1" applyBorder="1" applyAlignment="1" applyProtection="1">
      <alignment horizontal="center" vertical="center"/>
      <protection locked="0"/>
    </xf>
    <xf numFmtId="174" fontId="7" fillId="0" borderId="21" xfId="0" applyNumberFormat="1" applyFont="1" applyBorder="1" applyAlignment="1">
      <alignment vertical="center"/>
    </xf>
    <xf numFmtId="0" fontId="7" fillId="9" borderId="7" xfId="15" applyNumberFormat="1" applyFont="1" applyFill="1" applyBorder="1" applyAlignment="1" applyProtection="1">
      <alignment horizontal="center" vertical="center"/>
      <protection locked="0"/>
    </xf>
    <xf numFmtId="0" fontId="8" fillId="8" borderId="21" xfId="0" applyFont="1" applyFill="1" applyBorder="1" applyAlignment="1">
      <alignment horizontal="center" vertical="center"/>
    </xf>
    <xf numFmtId="174" fontId="8" fillId="8" borderId="21" xfId="0" applyNumberFormat="1" applyFont="1" applyFill="1" applyBorder="1" applyAlignment="1">
      <alignment vertical="center"/>
    </xf>
    <xf numFmtId="174" fontId="8" fillId="8" borderId="59" xfId="0" applyNumberFormat="1" applyFont="1" applyFill="1" applyBorder="1" applyAlignment="1">
      <alignment vertical="center"/>
    </xf>
    <xf numFmtId="0" fontId="7" fillId="2" borderId="54" xfId="0" applyFont="1" applyFill="1" applyBorder="1" applyAlignment="1">
      <alignment vertical="center"/>
    </xf>
    <xf numFmtId="0" fontId="7" fillId="2" borderId="55" xfId="0" applyFont="1" applyFill="1" applyBorder="1" applyAlignment="1">
      <alignment horizontal="right" vertical="center" wrapText="1"/>
    </xf>
    <xf numFmtId="0" fontId="31" fillId="0" borderId="55" xfId="0" applyFont="1" applyBorder="1" applyAlignment="1">
      <alignment vertical="center"/>
    </xf>
    <xf numFmtId="0" fontId="8" fillId="2" borderId="55" xfId="0" applyFont="1" applyFill="1" applyBorder="1" applyAlignment="1">
      <alignment vertical="center" wrapText="1"/>
    </xf>
    <xf numFmtId="0" fontId="8" fillId="2" borderId="40" xfId="0" applyFont="1" applyFill="1" applyBorder="1" applyAlignment="1">
      <alignment horizontal="right" vertical="center"/>
    </xf>
    <xf numFmtId="1" fontId="7" fillId="0" borderId="22" xfId="0" applyNumberFormat="1" applyFont="1" applyBorder="1" applyAlignment="1">
      <alignment horizontal="center" vertical="center"/>
    </xf>
    <xf numFmtId="1" fontId="7" fillId="0" borderId="53" xfId="0" applyNumberFormat="1" applyFont="1" applyBorder="1" applyAlignment="1">
      <alignment horizontal="center" vertical="center"/>
    </xf>
    <xf numFmtId="171" fontId="8" fillId="2" borderId="0" xfId="0" applyNumberFormat="1" applyFont="1" applyFill="1" applyAlignment="1">
      <alignment horizontal="center" vertical="center"/>
    </xf>
    <xf numFmtId="49" fontId="34" fillId="2" borderId="0" xfId="0" applyNumberFormat="1" applyFont="1" applyFill="1" applyAlignment="1" applyProtection="1">
      <alignment horizontal="left" vertical="center"/>
      <protection locked="0"/>
    </xf>
    <xf numFmtId="0" fontId="34" fillId="0" borderId="0" xfId="0" applyFont="1" applyAlignment="1">
      <alignment vertical="center"/>
    </xf>
    <xf numFmtId="0" fontId="34" fillId="2" borderId="0" xfId="0" applyFont="1" applyFill="1" applyAlignment="1">
      <alignment horizontal="left" vertical="center"/>
    </xf>
    <xf numFmtId="0" fontId="31" fillId="2" borderId="0" xfId="0" applyFont="1" applyFill="1" applyAlignment="1">
      <alignment vertical="center"/>
    </xf>
    <xf numFmtId="0" fontId="7" fillId="2" borderId="52" xfId="0" applyFont="1" applyFill="1" applyBorder="1" applyAlignment="1">
      <alignment vertical="center"/>
    </xf>
    <xf numFmtId="0" fontId="7" fillId="2" borderId="23" xfId="0" applyFont="1" applyFill="1" applyBorder="1" applyAlignment="1">
      <alignment horizontal="right" vertical="center" wrapText="1"/>
    </xf>
    <xf numFmtId="0" fontId="31" fillId="0" borderId="23" xfId="0" applyFont="1" applyBorder="1" applyAlignment="1">
      <alignment vertical="center"/>
    </xf>
    <xf numFmtId="0" fontId="8" fillId="2" borderId="23" xfId="0" applyFont="1" applyFill="1" applyBorder="1" applyAlignment="1">
      <alignment vertical="center" wrapText="1"/>
    </xf>
    <xf numFmtId="0" fontId="8" fillId="2" borderId="41" xfId="0" applyFont="1" applyFill="1" applyBorder="1" applyAlignment="1">
      <alignment horizontal="right" vertical="center"/>
    </xf>
    <xf numFmtId="171" fontId="8" fillId="2" borderId="23" xfId="0" applyNumberFormat="1" applyFont="1" applyFill="1" applyBorder="1" applyAlignment="1">
      <alignment horizontal="center" vertical="center"/>
    </xf>
    <xf numFmtId="171" fontId="8" fillId="2" borderId="36" xfId="0" applyNumberFormat="1" applyFont="1" applyFill="1" applyBorder="1" applyAlignment="1">
      <alignment horizontal="center" vertical="center"/>
    </xf>
    <xf numFmtId="171" fontId="8" fillId="2" borderId="56" xfId="0" applyNumberFormat="1" applyFont="1" applyFill="1" applyBorder="1" applyAlignment="1">
      <alignment horizontal="center" vertical="center"/>
    </xf>
    <xf numFmtId="0" fontId="8" fillId="5" borderId="52" xfId="0" applyFont="1" applyFill="1" applyBorder="1" applyAlignment="1">
      <alignment vertical="center"/>
    </xf>
    <xf numFmtId="0" fontId="8" fillId="5" borderId="70" xfId="0" applyFont="1" applyFill="1" applyBorder="1" applyAlignment="1">
      <alignment vertical="center"/>
    </xf>
    <xf numFmtId="0" fontId="8" fillId="5" borderId="23" xfId="0" applyFont="1" applyFill="1" applyBorder="1" applyAlignment="1">
      <alignment vertical="center"/>
    </xf>
    <xf numFmtId="0" fontId="8" fillId="5" borderId="41" xfId="0" applyFont="1" applyFill="1" applyBorder="1" applyAlignment="1">
      <alignment vertical="center"/>
    </xf>
    <xf numFmtId="172" fontId="8" fillId="5" borderId="23" xfId="0" applyNumberFormat="1" applyFont="1" applyFill="1" applyBorder="1" applyAlignment="1">
      <alignment vertical="center"/>
    </xf>
    <xf numFmtId="172" fontId="8" fillId="5" borderId="70" xfId="0" applyNumberFormat="1" applyFont="1" applyFill="1" applyBorder="1" applyAlignment="1">
      <alignment vertical="center"/>
    </xf>
    <xf numFmtId="172" fontId="8" fillId="5" borderId="56" xfId="0" applyNumberFormat="1" applyFont="1" applyFill="1" applyBorder="1" applyAlignment="1">
      <alignment vertical="center"/>
    </xf>
    <xf numFmtId="172" fontId="8" fillId="5" borderId="34" xfId="0" applyNumberFormat="1" applyFont="1" applyFill="1" applyBorder="1" applyAlignment="1">
      <alignment vertical="center"/>
    </xf>
    <xf numFmtId="0" fontId="7" fillId="2" borderId="50" xfId="0" applyFont="1" applyFill="1" applyBorder="1" applyAlignment="1">
      <alignment vertical="center"/>
    </xf>
    <xf numFmtId="49" fontId="7" fillId="0" borderId="60" xfId="0" applyNumberFormat="1" applyFont="1" applyBorder="1" applyAlignment="1">
      <alignment vertical="center"/>
    </xf>
    <xf numFmtId="49" fontId="7" fillId="0" borderId="55" xfId="0" applyNumberFormat="1" applyFont="1" applyBorder="1" applyAlignment="1">
      <alignment vertical="center"/>
    </xf>
    <xf numFmtId="171" fontId="7" fillId="9" borderId="22" xfId="0" applyNumberFormat="1" applyFont="1" applyFill="1" applyBorder="1" applyAlignment="1" applyProtection="1">
      <alignment vertical="center"/>
      <protection locked="0"/>
    </xf>
    <xf numFmtId="171" fontId="7" fillId="2" borderId="22" xfId="0" applyNumberFormat="1" applyFont="1" applyFill="1" applyBorder="1" applyAlignment="1">
      <alignment horizontal="center" vertical="center"/>
    </xf>
    <xf numFmtId="171" fontId="7" fillId="2" borderId="61" xfId="0" applyNumberFormat="1" applyFont="1" applyFill="1" applyBorder="1" applyAlignment="1">
      <alignment horizontal="center" vertical="center"/>
    </xf>
    <xf numFmtId="171" fontId="7" fillId="9" borderId="50" xfId="15" applyNumberFormat="1" applyFont="1" applyFill="1" applyBorder="1" applyAlignment="1" applyProtection="1">
      <alignment horizontal="center" vertical="center"/>
      <protection locked="0"/>
    </xf>
    <xf numFmtId="171" fontId="7" fillId="9" borderId="22" xfId="15" applyNumberFormat="1" applyFont="1" applyFill="1" applyBorder="1" applyAlignment="1" applyProtection="1">
      <alignment horizontal="center" vertical="center"/>
      <protection locked="0"/>
    </xf>
    <xf numFmtId="171" fontId="7" fillId="9" borderId="40" xfId="15" applyNumberFormat="1" applyFont="1" applyFill="1" applyBorder="1" applyAlignment="1" applyProtection="1">
      <alignment horizontal="center" vertical="center"/>
      <protection locked="0"/>
    </xf>
    <xf numFmtId="171" fontId="7" fillId="0" borderId="53" xfId="0" applyNumberFormat="1" applyFont="1" applyBorder="1" applyAlignment="1">
      <alignment horizontal="center" vertical="center"/>
    </xf>
    <xf numFmtId="171" fontId="7" fillId="2" borderId="0" xfId="0" applyNumberFormat="1" applyFont="1" applyFill="1" applyAlignment="1">
      <alignment vertical="center"/>
    </xf>
    <xf numFmtId="49" fontId="7" fillId="2" borderId="0" xfId="0" applyNumberFormat="1" applyFont="1" applyFill="1" applyAlignment="1" applyProtection="1">
      <alignment horizontal="left" vertical="center"/>
      <protection locked="0"/>
    </xf>
    <xf numFmtId="49" fontId="7" fillId="0" borderId="3" xfId="0" applyNumberFormat="1" applyFont="1" applyBorder="1" applyAlignment="1">
      <alignment vertical="center"/>
    </xf>
    <xf numFmtId="49" fontId="7" fillId="0" borderId="1" xfId="0" applyNumberFormat="1" applyFont="1" applyBorder="1" applyAlignment="1">
      <alignment vertical="center"/>
    </xf>
    <xf numFmtId="171" fontId="7" fillId="9" borderId="4" xfId="0" applyNumberFormat="1" applyFont="1" applyFill="1" applyBorder="1" applyAlignment="1" applyProtection="1">
      <alignment vertical="center"/>
      <protection locked="0"/>
    </xf>
    <xf numFmtId="171" fontId="7" fillId="2" borderId="37" xfId="0" applyNumberFormat="1" applyFont="1" applyFill="1" applyBorder="1" applyAlignment="1">
      <alignment horizontal="center" vertical="center"/>
    </xf>
    <xf numFmtId="171" fontId="7" fillId="9" borderId="2" xfId="15" applyNumberFormat="1" applyFont="1" applyFill="1" applyBorder="1" applyAlignment="1" applyProtection="1">
      <alignment horizontal="center" vertical="center"/>
      <protection locked="0"/>
    </xf>
    <xf numFmtId="0" fontId="7" fillId="2" borderId="8" xfId="0" applyFont="1" applyFill="1" applyBorder="1" applyAlignment="1">
      <alignment vertical="center"/>
    </xf>
    <xf numFmtId="0" fontId="7" fillId="0" borderId="66" xfId="0" applyFont="1" applyBorder="1" applyAlignment="1">
      <alignment vertical="center"/>
    </xf>
    <xf numFmtId="0" fontId="7" fillId="0" borderId="10" xfId="0" applyFont="1" applyBorder="1" applyAlignment="1">
      <alignment vertical="center"/>
    </xf>
    <xf numFmtId="0" fontId="7" fillId="0" borderId="16" xfId="0" applyFont="1" applyBorder="1" applyAlignment="1">
      <alignment vertical="center"/>
    </xf>
    <xf numFmtId="171" fontId="7" fillId="9" borderId="9" xfId="0" applyNumberFormat="1" applyFont="1" applyFill="1" applyBorder="1" applyAlignment="1" applyProtection="1">
      <alignment vertical="center"/>
      <protection locked="0"/>
    </xf>
    <xf numFmtId="171" fontId="7" fillId="2" borderId="36" xfId="0" applyNumberFormat="1" applyFont="1" applyFill="1" applyBorder="1" applyAlignment="1">
      <alignment horizontal="center" vertical="center"/>
    </xf>
    <xf numFmtId="171" fontId="7" fillId="2" borderId="39" xfId="0" applyNumberFormat="1" applyFont="1" applyFill="1" applyBorder="1" applyAlignment="1">
      <alignment horizontal="center" vertical="center"/>
    </xf>
    <xf numFmtId="171" fontId="7" fillId="9" borderId="8" xfId="15" applyNumberFormat="1" applyFont="1" applyFill="1" applyBorder="1" applyAlignment="1" applyProtection="1">
      <alignment horizontal="center" vertical="center"/>
      <protection locked="0"/>
    </xf>
    <xf numFmtId="171" fontId="7" fillId="9" borderId="9" xfId="15" applyNumberFormat="1" applyFont="1" applyFill="1" applyBorder="1" applyAlignment="1" applyProtection="1">
      <alignment horizontal="center" vertical="center"/>
      <protection locked="0"/>
    </xf>
    <xf numFmtId="171" fontId="7" fillId="9" borderId="16" xfId="15" applyNumberFormat="1" applyFont="1" applyFill="1" applyBorder="1" applyAlignment="1" applyProtection="1">
      <alignment horizontal="center" vertical="center"/>
      <protection locked="0"/>
    </xf>
    <xf numFmtId="171" fontId="7" fillId="0" borderId="51" xfId="0" applyNumberFormat="1" applyFont="1" applyBorder="1" applyAlignment="1">
      <alignment horizontal="center" vertical="center"/>
    </xf>
    <xf numFmtId="0" fontId="7" fillId="2" borderId="26" xfId="0" applyFont="1" applyFill="1" applyBorder="1" applyAlignment="1">
      <alignment vertical="center"/>
    </xf>
    <xf numFmtId="0" fontId="7" fillId="2" borderId="0" xfId="0" applyFont="1" applyFill="1" applyAlignment="1">
      <alignment horizontal="right" vertical="center" wrapText="1"/>
    </xf>
    <xf numFmtId="0" fontId="8" fillId="2" borderId="0" xfId="0" applyFont="1" applyFill="1" applyAlignment="1">
      <alignment vertical="center" wrapText="1"/>
    </xf>
    <xf numFmtId="171" fontId="8" fillId="2" borderId="12" xfId="0" applyNumberFormat="1" applyFont="1" applyFill="1" applyBorder="1" applyAlignment="1">
      <alignment horizontal="center" vertical="center"/>
    </xf>
    <xf numFmtId="0" fontId="8" fillId="5" borderId="38" xfId="0" applyFont="1" applyFill="1" applyBorder="1" applyAlignment="1">
      <alignment vertical="center"/>
    </xf>
    <xf numFmtId="171" fontId="8" fillId="5" borderId="12" xfId="0" applyNumberFormat="1" applyFont="1" applyFill="1" applyBorder="1" applyAlignment="1">
      <alignment horizontal="right" vertical="center"/>
    </xf>
    <xf numFmtId="171" fontId="8" fillId="5" borderId="32" xfId="0" applyNumberFormat="1" applyFont="1" applyFill="1" applyBorder="1" applyAlignment="1">
      <alignment horizontal="right" vertical="center"/>
    </xf>
    <xf numFmtId="171" fontId="8" fillId="5" borderId="17" xfId="0" applyNumberFormat="1" applyFont="1" applyFill="1" applyBorder="1" applyAlignment="1">
      <alignment horizontal="right" vertical="center"/>
    </xf>
    <xf numFmtId="9" fontId="8" fillId="2" borderId="49" xfId="0" applyNumberFormat="1" applyFont="1" applyFill="1" applyBorder="1" applyAlignment="1">
      <alignment horizontal="center" vertical="center"/>
    </xf>
    <xf numFmtId="171" fontId="7" fillId="0" borderId="0" xfId="0" applyNumberFormat="1" applyFont="1" applyAlignment="1">
      <alignment vertical="center"/>
    </xf>
    <xf numFmtId="0" fontId="7" fillId="2" borderId="19" xfId="0" applyFont="1" applyFill="1" applyBorder="1" applyAlignment="1">
      <alignment vertical="center"/>
    </xf>
    <xf numFmtId="0" fontId="31" fillId="0" borderId="18" xfId="0" applyFont="1" applyBorder="1" applyAlignment="1">
      <alignment vertical="center"/>
    </xf>
    <xf numFmtId="0" fontId="8" fillId="2" borderId="18" xfId="0" applyFont="1" applyFill="1" applyBorder="1" applyAlignment="1">
      <alignment vertical="center" wrapText="1"/>
    </xf>
    <xf numFmtId="0" fontId="8" fillId="2" borderId="38" xfId="0" applyFont="1" applyFill="1" applyBorder="1" applyAlignment="1">
      <alignment horizontal="right" vertical="center"/>
    </xf>
    <xf numFmtId="171" fontId="8" fillId="2" borderId="32" xfId="0" applyNumberFormat="1" applyFont="1" applyFill="1" applyBorder="1" applyAlignment="1">
      <alignment horizontal="center" vertical="center"/>
    </xf>
    <xf numFmtId="0" fontId="7" fillId="2" borderId="0" xfId="16" applyNumberFormat="1" applyFont="1" applyFill="1" applyBorder="1" applyAlignment="1" applyProtection="1">
      <alignment horizontal="center" vertical="center"/>
    </xf>
    <xf numFmtId="171" fontId="8" fillId="2" borderId="39" xfId="0" applyNumberFormat="1" applyFont="1" applyFill="1" applyBorder="1" applyAlignment="1">
      <alignment horizontal="center" vertical="center"/>
    </xf>
    <xf numFmtId="0" fontId="8" fillId="2" borderId="11" xfId="0" applyFont="1" applyFill="1" applyBorder="1" applyAlignment="1">
      <alignment horizontal="center" vertical="center"/>
    </xf>
    <xf numFmtId="0" fontId="8" fillId="2" borderId="17" xfId="0" applyFont="1" applyFill="1" applyBorder="1" applyAlignment="1">
      <alignment vertical="center"/>
    </xf>
    <xf numFmtId="0" fontId="8" fillId="2" borderId="18" xfId="0" applyFont="1" applyFill="1" applyBorder="1" applyAlignment="1">
      <alignment vertical="center"/>
    </xf>
    <xf numFmtId="167" fontId="8" fillId="2" borderId="25" xfId="14" applyNumberFormat="1" applyFont="1" applyFill="1" applyBorder="1" applyAlignment="1" applyProtection="1">
      <alignment horizontal="center" vertical="center" wrapText="1"/>
    </xf>
    <xf numFmtId="167" fontId="8" fillId="2" borderId="0" xfId="14" applyNumberFormat="1" applyFont="1" applyFill="1" applyBorder="1" applyAlignment="1" applyProtection="1">
      <alignment horizontal="center" vertical="center" wrapText="1"/>
    </xf>
    <xf numFmtId="49" fontId="8" fillId="2" borderId="0" xfId="0" applyNumberFormat="1" applyFont="1" applyFill="1" applyAlignment="1" applyProtection="1">
      <alignment horizontal="left" vertical="center"/>
      <protection locked="0"/>
    </xf>
    <xf numFmtId="0" fontId="7" fillId="2" borderId="13" xfId="0" applyFont="1" applyFill="1" applyBorder="1" applyAlignment="1">
      <alignment vertical="center"/>
    </xf>
    <xf numFmtId="0" fontId="7" fillId="0" borderId="60" xfId="0" applyFont="1" applyBorder="1" applyAlignment="1">
      <alignment vertical="center"/>
    </xf>
    <xf numFmtId="0" fontId="7" fillId="0" borderId="55" xfId="0" applyFont="1" applyBorder="1" applyAlignment="1">
      <alignment vertical="center"/>
    </xf>
    <xf numFmtId="0" fontId="7" fillId="0" borderId="14" xfId="0" applyFont="1" applyBorder="1" applyAlignment="1">
      <alignment vertical="center"/>
    </xf>
    <xf numFmtId="171" fontId="7" fillId="9" borderId="13" xfId="15" applyNumberFormat="1" applyFont="1" applyFill="1" applyBorder="1" applyAlignment="1" applyProtection="1">
      <alignment horizontal="center" vertical="center"/>
      <protection locked="0"/>
    </xf>
    <xf numFmtId="171" fontId="7" fillId="9" borderId="5" xfId="15" applyNumberFormat="1" applyFont="1" applyFill="1" applyBorder="1" applyAlignment="1" applyProtection="1">
      <alignment horizontal="center" vertical="center"/>
      <protection locked="0"/>
    </xf>
    <xf numFmtId="0" fontId="7" fillId="9" borderId="5" xfId="15" applyNumberFormat="1" applyFont="1" applyFill="1" applyBorder="1" applyAlignment="1" applyProtection="1">
      <alignment horizontal="center" vertical="center"/>
      <protection locked="0"/>
    </xf>
    <xf numFmtId="0" fontId="7" fillId="0" borderId="64" xfId="0" applyFont="1" applyBorder="1" applyAlignment="1">
      <alignment vertical="center"/>
    </xf>
    <xf numFmtId="0" fontId="7" fillId="0" borderId="24"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174" fontId="8" fillId="2" borderId="0" xfId="16" applyNumberFormat="1" applyFont="1" applyFill="1" applyBorder="1" applyAlignment="1" applyProtection="1">
      <alignment horizontal="center" vertical="center" wrapText="1"/>
    </xf>
    <xf numFmtId="0" fontId="7" fillId="2" borderId="0" xfId="0" applyFont="1" applyFill="1" applyAlignment="1" applyProtection="1">
      <alignment horizontal="left" vertical="center"/>
      <protection locked="0"/>
    </xf>
    <xf numFmtId="49" fontId="7" fillId="2" borderId="1" xfId="0" applyNumberFormat="1" applyFont="1" applyFill="1" applyBorder="1" applyAlignment="1" applyProtection="1">
      <alignment horizontal="left" vertical="center"/>
      <protection locked="0"/>
    </xf>
    <xf numFmtId="9" fontId="8" fillId="2" borderId="3" xfId="12" applyFont="1" applyFill="1" applyBorder="1" applyAlignment="1" applyProtection="1">
      <alignment horizontal="center" vertical="center"/>
    </xf>
    <xf numFmtId="0" fontId="7" fillId="0" borderId="18" xfId="0" applyFont="1" applyBorder="1" applyAlignment="1">
      <alignment vertical="center"/>
    </xf>
    <xf numFmtId="0" fontId="31" fillId="0" borderId="25" xfId="0" applyFont="1" applyBorder="1" applyAlignment="1">
      <alignment vertical="center"/>
    </xf>
    <xf numFmtId="0" fontId="31" fillId="0" borderId="15" xfId="0" applyFont="1" applyBorder="1" applyAlignment="1">
      <alignment horizontal="left" vertical="center"/>
    </xf>
    <xf numFmtId="9" fontId="31" fillId="0" borderId="15" xfId="0" applyNumberFormat="1" applyFont="1" applyBorder="1" applyAlignment="1">
      <alignment horizontal="left" vertical="center"/>
    </xf>
    <xf numFmtId="9" fontId="31" fillId="0" borderId="42" xfId="0" applyNumberFormat="1" applyFont="1" applyBorder="1" applyAlignment="1">
      <alignment horizontal="left" vertical="center"/>
    </xf>
    <xf numFmtId="9" fontId="31" fillId="0" borderId="0" xfId="0" applyNumberFormat="1" applyFont="1" applyAlignment="1">
      <alignment horizontal="left" vertical="center"/>
    </xf>
    <xf numFmtId="171" fontId="7" fillId="2" borderId="0" xfId="0" applyNumberFormat="1" applyFont="1" applyFill="1" applyAlignment="1">
      <alignment horizontal="right" vertical="center"/>
    </xf>
    <xf numFmtId="0" fontId="9" fillId="3" borderId="19" xfId="0" applyFont="1" applyFill="1" applyBorder="1" applyAlignment="1">
      <alignment horizontal="left" vertical="center"/>
    </xf>
    <xf numFmtId="0" fontId="9" fillId="3" borderId="18" xfId="0" applyFont="1" applyFill="1" applyBorder="1" applyAlignment="1">
      <alignment horizontal="left" vertical="center"/>
    </xf>
    <xf numFmtId="0" fontId="9" fillId="3" borderId="18" xfId="0" applyFont="1" applyFill="1" applyBorder="1" applyAlignment="1">
      <alignment horizontal="right" vertical="center"/>
    </xf>
    <xf numFmtId="0" fontId="27" fillId="3" borderId="18" xfId="0" applyFont="1" applyFill="1" applyBorder="1" applyAlignment="1">
      <alignment vertical="center"/>
    </xf>
    <xf numFmtId="0" fontId="9" fillId="3" borderId="38" xfId="0" applyFont="1" applyFill="1" applyBorder="1" applyAlignment="1">
      <alignment horizontal="center" vertical="center"/>
    </xf>
    <xf numFmtId="171" fontId="9" fillId="3" borderId="38" xfId="0" applyNumberFormat="1" applyFont="1" applyFill="1" applyBorder="1" applyAlignment="1">
      <alignment horizontal="center" vertical="center"/>
    </xf>
    <xf numFmtId="171" fontId="9" fillId="3" borderId="34" xfId="0" applyNumberFormat="1" applyFont="1" applyFill="1" applyBorder="1" applyAlignment="1">
      <alignment horizontal="center" vertical="center"/>
    </xf>
    <xf numFmtId="0" fontId="7" fillId="0" borderId="55" xfId="0" applyFont="1" applyBorder="1" applyAlignment="1">
      <alignment vertical="center" wrapText="1"/>
    </xf>
    <xf numFmtId="0" fontId="8" fillId="0" borderId="55" xfId="0" applyFont="1" applyBorder="1" applyAlignment="1">
      <alignment horizontal="right" vertical="center"/>
    </xf>
    <xf numFmtId="171" fontId="8" fillId="2" borderId="22" xfId="0" applyNumberFormat="1" applyFont="1" applyFill="1" applyBorder="1" applyAlignment="1">
      <alignment horizontal="center" vertical="center"/>
    </xf>
    <xf numFmtId="171" fontId="8" fillId="0" borderId="22" xfId="0" applyNumberFormat="1" applyFont="1" applyBorder="1" applyAlignment="1">
      <alignment horizontal="center" vertical="center"/>
    </xf>
    <xf numFmtId="171" fontId="8" fillId="0" borderId="61" xfId="0" applyNumberFormat="1" applyFont="1" applyBorder="1" applyAlignment="1">
      <alignment horizontal="center" vertical="center"/>
    </xf>
    <xf numFmtId="9" fontId="7" fillId="0" borderId="0" xfId="12" applyFont="1" applyFill="1" applyBorder="1" applyAlignment="1" applyProtection="1">
      <alignment horizontal="center" vertical="center"/>
    </xf>
    <xf numFmtId="171" fontId="7" fillId="0" borderId="0" xfId="0" applyNumberFormat="1" applyFont="1" applyAlignment="1">
      <alignment horizontal="center" vertical="center"/>
    </xf>
    <xf numFmtId="0" fontId="7" fillId="0" borderId="23" xfId="0" applyFont="1" applyBorder="1" applyAlignment="1">
      <alignment vertical="center"/>
    </xf>
    <xf numFmtId="0" fontId="7" fillId="0" borderId="23" xfId="0" applyFont="1" applyBorder="1" applyAlignment="1">
      <alignment vertical="center" wrapText="1"/>
    </xf>
    <xf numFmtId="0" fontId="8" fillId="0" borderId="23" xfId="0" applyFont="1" applyBorder="1" applyAlignment="1">
      <alignment horizontal="right" vertical="center"/>
    </xf>
    <xf numFmtId="0" fontId="7" fillId="0" borderId="0" xfId="0" applyFont="1" applyAlignment="1">
      <alignment horizontal="left" vertical="center"/>
    </xf>
    <xf numFmtId="169" fontId="7" fillId="2" borderId="0" xfId="0" applyNumberFormat="1" applyFont="1" applyFill="1" applyAlignment="1">
      <alignment horizontal="right" vertical="center"/>
    </xf>
    <xf numFmtId="0" fontId="7" fillId="0" borderId="26" xfId="0" applyFont="1" applyBorder="1" applyAlignment="1">
      <alignment vertical="center"/>
    </xf>
    <xf numFmtId="167" fontId="7" fillId="0" borderId="18" xfId="14" applyNumberFormat="1" applyFont="1" applyBorder="1" applyAlignment="1" applyProtection="1">
      <alignment vertical="center"/>
    </xf>
    <xf numFmtId="167" fontId="7" fillId="0" borderId="34" xfId="14" applyNumberFormat="1" applyFont="1" applyBorder="1" applyAlignment="1" applyProtection="1">
      <alignment vertical="center"/>
    </xf>
    <xf numFmtId="167" fontId="7" fillId="0" borderId="0" xfId="14" applyNumberFormat="1" applyFont="1" applyBorder="1" applyAlignment="1" applyProtection="1">
      <alignment vertical="center"/>
    </xf>
    <xf numFmtId="167" fontId="8" fillId="2" borderId="38" xfId="14" applyNumberFormat="1" applyFont="1" applyFill="1" applyBorder="1" applyAlignment="1" applyProtection="1">
      <alignment horizontal="center" vertical="center" wrapText="1"/>
    </xf>
    <xf numFmtId="167" fontId="8" fillId="2" borderId="29" xfId="14" applyNumberFormat="1" applyFont="1" applyFill="1" applyBorder="1" applyAlignment="1" applyProtection="1">
      <alignment horizontal="center" vertical="center" wrapText="1"/>
    </xf>
    <xf numFmtId="167" fontId="8" fillId="2" borderId="15" xfId="14" applyNumberFormat="1" applyFont="1" applyFill="1" applyBorder="1" applyAlignment="1" applyProtection="1">
      <alignment horizontal="center" vertical="center" wrapText="1"/>
    </xf>
    <xf numFmtId="167" fontId="8" fillId="2" borderId="57" xfId="14" applyNumberFormat="1" applyFont="1" applyFill="1" applyBorder="1" applyAlignment="1" applyProtection="1">
      <alignment horizontal="center" vertical="center" wrapText="1"/>
    </xf>
    <xf numFmtId="0" fontId="8" fillId="0" borderId="55" xfId="0" applyFont="1" applyBorder="1" applyAlignment="1">
      <alignment vertical="center" wrapText="1"/>
    </xf>
    <xf numFmtId="0" fontId="8" fillId="0" borderId="40" xfId="0" applyFont="1" applyBorder="1" applyAlignment="1">
      <alignment vertical="center" wrapText="1"/>
    </xf>
    <xf numFmtId="171" fontId="7" fillId="0" borderId="22" xfId="0" applyNumberFormat="1" applyFont="1" applyBorder="1" applyAlignment="1">
      <alignment horizontal="center" vertical="center"/>
    </xf>
    <xf numFmtId="171" fontId="7" fillId="0" borderId="42" xfId="0" applyNumberFormat="1" applyFont="1" applyBorder="1" applyAlignment="1">
      <alignment horizontal="center" vertical="center"/>
    </xf>
    <xf numFmtId="0" fontId="7" fillId="9" borderId="22" xfId="15" applyNumberFormat="1" applyFont="1" applyFill="1" applyBorder="1" applyAlignment="1" applyProtection="1">
      <alignment horizontal="center" vertical="center"/>
      <protection locked="0"/>
    </xf>
    <xf numFmtId="0" fontId="8" fillId="0" borderId="10" xfId="0" applyFont="1" applyBorder="1" applyAlignment="1">
      <alignment vertical="center" wrapText="1"/>
    </xf>
    <xf numFmtId="0" fontId="8" fillId="0" borderId="16" xfId="0" applyFont="1" applyBorder="1" applyAlignment="1">
      <alignment vertical="center" wrapText="1"/>
    </xf>
    <xf numFmtId="171" fontId="7" fillId="0" borderId="36" xfId="0" applyNumberFormat="1" applyFont="1" applyBorder="1" applyAlignment="1">
      <alignment horizontal="center" vertical="center"/>
    </xf>
    <xf numFmtId="171" fontId="7" fillId="11" borderId="36" xfId="0" applyNumberFormat="1" applyFont="1" applyFill="1" applyBorder="1" applyAlignment="1">
      <alignment horizontal="center" vertical="center"/>
    </xf>
    <xf numFmtId="171" fontId="7" fillId="0" borderId="59" xfId="0" applyNumberFormat="1" applyFont="1" applyBorder="1" applyAlignment="1">
      <alignment horizontal="center" vertical="center"/>
    </xf>
    <xf numFmtId="0" fontId="7" fillId="9" borderId="9" xfId="15" applyNumberFormat="1" applyFont="1" applyFill="1" applyBorder="1" applyAlignment="1" applyProtection="1">
      <alignment horizontal="center" vertical="center"/>
      <protection locked="0"/>
    </xf>
    <xf numFmtId="0" fontId="31" fillId="0" borderId="26" xfId="0" applyFont="1" applyBorder="1" applyAlignment="1">
      <alignment horizontal="left" vertical="center"/>
    </xf>
    <xf numFmtId="0" fontId="31" fillId="0" borderId="0" xfId="0" applyFont="1" applyAlignment="1">
      <alignment horizontal="left" vertical="center"/>
    </xf>
    <xf numFmtId="0" fontId="31" fillId="0" borderId="23" xfId="0" applyFont="1" applyBorder="1" applyAlignment="1">
      <alignment horizontal="left" vertical="center"/>
    </xf>
    <xf numFmtId="1" fontId="31" fillId="0" borderId="0" xfId="0" applyNumberFormat="1" applyFont="1" applyAlignment="1">
      <alignment horizontal="left" vertical="center"/>
    </xf>
    <xf numFmtId="1" fontId="31" fillId="0" borderId="34" xfId="0" applyNumberFormat="1" applyFont="1" applyBorder="1" applyAlignment="1">
      <alignment horizontal="left" vertical="center"/>
    </xf>
    <xf numFmtId="175" fontId="7" fillId="2" borderId="0" xfId="0" applyNumberFormat="1" applyFont="1" applyFill="1" applyAlignment="1" applyProtection="1">
      <alignment horizontal="left" vertical="center"/>
      <protection locked="0"/>
    </xf>
    <xf numFmtId="175" fontId="7" fillId="2" borderId="0" xfId="0" applyNumberFormat="1" applyFont="1" applyFill="1" applyAlignment="1">
      <alignment horizontal="left" vertical="center"/>
    </xf>
    <xf numFmtId="175" fontId="7" fillId="0" borderId="0" xfId="0" applyNumberFormat="1" applyFont="1" applyAlignment="1">
      <alignment horizontal="left" vertical="center"/>
    </xf>
    <xf numFmtId="0" fontId="7" fillId="0" borderId="18" xfId="0" applyFont="1" applyBorder="1" applyAlignment="1">
      <alignment vertical="center" wrapText="1"/>
    </xf>
    <xf numFmtId="0" fontId="8" fillId="0" borderId="18" xfId="0" applyFont="1" applyBorder="1" applyAlignment="1">
      <alignment horizontal="right" vertical="center"/>
    </xf>
    <xf numFmtId="171" fontId="7" fillId="11" borderId="12" xfId="0" applyNumberFormat="1" applyFont="1" applyFill="1" applyBorder="1" applyAlignment="1">
      <alignment horizontal="center" vertical="center"/>
    </xf>
    <xf numFmtId="171" fontId="7" fillId="0" borderId="34" xfId="0" applyNumberFormat="1" applyFont="1" applyBorder="1" applyAlignment="1">
      <alignment horizontal="center" vertical="center"/>
    </xf>
    <xf numFmtId="171" fontId="8" fillId="0" borderId="0" xfId="0" applyNumberFormat="1" applyFont="1" applyAlignment="1">
      <alignment horizontal="center" vertical="center"/>
    </xf>
    <xf numFmtId="0" fontId="26" fillId="8" borderId="23" xfId="10" applyFont="1" applyFill="1" applyBorder="1" applyAlignment="1">
      <alignment horizontal="center" vertical="center"/>
    </xf>
    <xf numFmtId="0" fontId="26" fillId="8" borderId="10" xfId="10" applyFont="1" applyFill="1" applyBorder="1" applyAlignment="1">
      <alignment horizontal="center" vertical="center"/>
    </xf>
    <xf numFmtId="0" fontId="10" fillId="3" borderId="50" xfId="10" applyFont="1" applyFill="1" applyBorder="1" applyAlignment="1">
      <alignment horizontal="center" vertical="center" wrapText="1"/>
    </xf>
    <xf numFmtId="0" fontId="10" fillId="3" borderId="22" xfId="10" applyFont="1" applyFill="1" applyBorder="1" applyAlignment="1">
      <alignment horizontal="center" vertical="center" wrapText="1"/>
    </xf>
    <xf numFmtId="0" fontId="10" fillId="3" borderId="53" xfId="10" applyFont="1" applyFill="1" applyBorder="1" applyAlignment="1">
      <alignment horizontal="center" vertical="center" wrapText="1"/>
    </xf>
    <xf numFmtId="1" fontId="22" fillId="2" borderId="8" xfId="10" applyNumberFormat="1" applyFont="1" applyFill="1" applyBorder="1" applyAlignment="1">
      <alignment horizontal="center" vertical="center" wrapText="1"/>
    </xf>
    <xf numFmtId="1" fontId="21" fillId="8" borderId="10" xfId="9" applyNumberFormat="1" applyFont="1" applyFill="1" applyBorder="1" applyAlignment="1" applyProtection="1">
      <alignment horizontal="center" vertical="center"/>
    </xf>
    <xf numFmtId="0" fontId="23" fillId="8" borderId="10" xfId="10" applyFont="1" applyFill="1" applyBorder="1" applyAlignment="1">
      <alignment horizontal="center" vertical="center"/>
    </xf>
    <xf numFmtId="165" fontId="23" fillId="8" borderId="48" xfId="10" applyNumberFormat="1" applyFont="1" applyFill="1" applyBorder="1" applyAlignment="1">
      <alignment horizontal="center" vertical="center"/>
    </xf>
    <xf numFmtId="0" fontId="21" fillId="8" borderId="65" xfId="9" applyNumberFormat="1" applyFont="1" applyFill="1" applyBorder="1" applyAlignment="1" applyProtection="1">
      <alignment horizontal="center" vertical="center"/>
    </xf>
    <xf numFmtId="0" fontId="23" fillId="8" borderId="65" xfId="10" applyFont="1" applyFill="1" applyBorder="1" applyAlignment="1">
      <alignment horizontal="center" vertical="center" wrapText="1"/>
    </xf>
    <xf numFmtId="1" fontId="21" fillId="7" borderId="7" xfId="12" applyNumberFormat="1" applyFont="1" applyFill="1" applyBorder="1" applyAlignment="1" applyProtection="1">
      <alignment horizontal="center" vertical="center"/>
    </xf>
    <xf numFmtId="0" fontId="0" fillId="0" borderId="0" xfId="0" applyAlignment="1">
      <alignment vertical="center"/>
    </xf>
    <xf numFmtId="0" fontId="1" fillId="2" borderId="4" xfId="10" applyFont="1" applyFill="1" applyBorder="1" applyAlignment="1">
      <alignment vertical="center"/>
    </xf>
    <xf numFmtId="0" fontId="23" fillId="7" borderId="61" xfId="10" applyFont="1" applyFill="1" applyBorder="1" applyAlignment="1">
      <alignment horizontal="center" vertical="center"/>
    </xf>
    <xf numFmtId="0" fontId="23" fillId="7" borderId="37" xfId="10" applyFont="1" applyFill="1" applyBorder="1" applyAlignment="1">
      <alignment horizontal="center" vertical="center"/>
    </xf>
    <xf numFmtId="0" fontId="23" fillId="8" borderId="56" xfId="10" applyFont="1" applyFill="1" applyBorder="1" applyAlignment="1">
      <alignment horizontal="center" vertical="center"/>
    </xf>
    <xf numFmtId="0" fontId="23" fillId="8" borderId="51" xfId="10" applyFont="1" applyFill="1" applyBorder="1" applyAlignment="1">
      <alignment horizontal="center" vertical="center"/>
    </xf>
    <xf numFmtId="0" fontId="23" fillId="8" borderId="48" xfId="10" applyFont="1"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171" fontId="7" fillId="2" borderId="70" xfId="0" applyNumberFormat="1" applyFont="1" applyFill="1" applyBorder="1" applyAlignment="1">
      <alignment horizontal="center" vertical="center"/>
    </xf>
    <xf numFmtId="171" fontId="7" fillId="2" borderId="26" xfId="0" applyNumberFormat="1" applyFont="1" applyFill="1" applyBorder="1" applyAlignment="1">
      <alignment horizontal="center" vertical="center"/>
    </xf>
    <xf numFmtId="171" fontId="34" fillId="2" borderId="5" xfId="0" applyNumberFormat="1" applyFont="1" applyFill="1" applyBorder="1" applyAlignment="1">
      <alignment horizontal="center" vertical="center"/>
    </xf>
    <xf numFmtId="0" fontId="21" fillId="0" borderId="49" xfId="9" applyNumberFormat="1" applyFont="1" applyBorder="1" applyAlignment="1" applyProtection="1">
      <alignment horizontal="left" vertical="center"/>
      <protection locked="0"/>
    </xf>
    <xf numFmtId="0" fontId="21" fillId="0" borderId="1" xfId="9" applyNumberFormat="1" applyFont="1" applyBorder="1" applyAlignment="1" applyProtection="1">
      <alignment horizontal="left" vertical="center"/>
      <protection locked="0"/>
    </xf>
    <xf numFmtId="0" fontId="21" fillId="0" borderId="2" xfId="9" applyNumberFormat="1" applyFont="1" applyBorder="1" applyAlignment="1" applyProtection="1">
      <alignment horizontal="left" vertical="center"/>
      <protection locked="0"/>
    </xf>
    <xf numFmtId="0" fontId="21" fillId="0" borderId="31" xfId="9" applyNumberFormat="1" applyFont="1" applyBorder="1" applyAlignment="1" applyProtection="1">
      <alignment horizontal="left" vertical="center"/>
      <protection locked="0"/>
    </xf>
    <xf numFmtId="0" fontId="25" fillId="2" borderId="21" xfId="10" applyFont="1" applyFill="1" applyBorder="1" applyAlignment="1" applyProtection="1">
      <alignment horizontal="left" vertical="center" wrapText="1"/>
      <protection locked="0"/>
    </xf>
    <xf numFmtId="0" fontId="25" fillId="2" borderId="4" xfId="10" applyFont="1" applyFill="1" applyBorder="1" applyAlignment="1" applyProtection="1">
      <alignment horizontal="left" vertical="center" wrapText="1"/>
      <protection locked="0"/>
    </xf>
    <xf numFmtId="0" fontId="23" fillId="0" borderId="64" xfId="10" applyFont="1" applyBorder="1" applyAlignment="1" applyProtection="1">
      <alignment horizontal="center" vertical="center"/>
      <protection locked="0"/>
    </xf>
    <xf numFmtId="0" fontId="25" fillId="2" borderId="4" xfId="10" applyFont="1" applyFill="1" applyBorder="1" applyAlignment="1" applyProtection="1">
      <alignment horizontal="left" vertical="center"/>
      <protection locked="0"/>
    </xf>
    <xf numFmtId="0" fontId="26" fillId="7" borderId="24" xfId="10" applyFont="1" applyFill="1" applyBorder="1" applyAlignment="1">
      <alignment horizontal="center" vertical="center"/>
    </xf>
    <xf numFmtId="0" fontId="23" fillId="0" borderId="4" xfId="10" applyFont="1" applyBorder="1" applyAlignment="1" applyProtection="1">
      <alignment horizontal="center" vertical="center"/>
      <protection locked="0"/>
    </xf>
    <xf numFmtId="171" fontId="34" fillId="0" borderId="34" xfId="0" applyNumberFormat="1" applyFont="1" applyBorder="1" applyAlignment="1">
      <alignment horizontal="center" vertical="center"/>
    </xf>
    <xf numFmtId="169" fontId="34" fillId="9" borderId="4" xfId="0" applyNumberFormat="1" applyFont="1" applyFill="1" applyBorder="1" applyAlignment="1" applyProtection="1">
      <alignment vertical="center"/>
      <protection locked="0"/>
    </xf>
    <xf numFmtId="0" fontId="1" fillId="2" borderId="5" xfId="10" applyFont="1" applyFill="1" applyBorder="1" applyAlignment="1">
      <alignment vertical="center"/>
    </xf>
    <xf numFmtId="0" fontId="7" fillId="0" borderId="4" xfId="0" applyFont="1" applyBorder="1" applyAlignment="1">
      <alignment horizontal="center" vertical="center"/>
    </xf>
    <xf numFmtId="0" fontId="19" fillId="0" borderId="4" xfId="0" applyFont="1" applyBorder="1" applyAlignment="1">
      <alignment horizontal="left" vertical="center"/>
    </xf>
    <xf numFmtId="0" fontId="19" fillId="0" borderId="4" xfId="0" applyFont="1" applyBorder="1" applyAlignment="1">
      <alignment horizontal="left" vertical="center" wrapText="1"/>
    </xf>
    <xf numFmtId="0" fontId="7" fillId="0" borderId="5" xfId="0" applyFont="1" applyBorder="1" applyAlignment="1">
      <alignment horizontal="center" vertical="center"/>
    </xf>
    <xf numFmtId="0" fontId="19" fillId="0" borderId="5" xfId="0" applyFont="1" applyBorder="1" applyAlignment="1">
      <alignment horizontal="left" vertical="center" wrapText="1"/>
    </xf>
    <xf numFmtId="0" fontId="21" fillId="0" borderId="49" xfId="9" applyNumberFormat="1" applyFont="1" applyBorder="1" applyAlignment="1" applyProtection="1">
      <alignment horizontal="left" vertical="center"/>
      <protection locked="0"/>
    </xf>
    <xf numFmtId="0" fontId="21" fillId="0" borderId="1" xfId="9" applyNumberFormat="1" applyFont="1" applyBorder="1" applyAlignment="1" applyProtection="1">
      <alignment horizontal="left" vertical="center"/>
      <protection locked="0"/>
    </xf>
    <xf numFmtId="0" fontId="21" fillId="0" borderId="2" xfId="9" applyNumberFormat="1" applyFont="1" applyBorder="1" applyAlignment="1" applyProtection="1">
      <alignment horizontal="left" vertical="center"/>
      <protection locked="0"/>
    </xf>
    <xf numFmtId="0" fontId="21" fillId="0" borderId="31" xfId="9" applyNumberFormat="1" applyFont="1" applyBorder="1" applyAlignment="1" applyProtection="1">
      <alignment horizontal="left" vertical="center"/>
      <protection locked="0"/>
    </xf>
    <xf numFmtId="0" fontId="21" fillId="0" borderId="54" xfId="9" applyNumberFormat="1" applyFont="1" applyBorder="1" applyAlignment="1" applyProtection="1">
      <alignment horizontal="left" vertical="center"/>
      <protection locked="0"/>
    </xf>
    <xf numFmtId="0" fontId="21" fillId="0" borderId="55" xfId="9" applyNumberFormat="1" applyFont="1" applyBorder="1" applyAlignment="1" applyProtection="1">
      <alignment horizontal="left" vertical="center"/>
      <protection locked="0"/>
    </xf>
    <xf numFmtId="0" fontId="21" fillId="0" borderId="40" xfId="9" applyNumberFormat="1" applyFont="1" applyBorder="1" applyAlignment="1" applyProtection="1">
      <alignment horizontal="left" vertical="center"/>
      <protection locked="0"/>
    </xf>
    <xf numFmtId="0" fontId="23" fillId="2" borderId="1" xfId="10" applyFont="1" applyFill="1" applyBorder="1" applyAlignment="1">
      <alignment horizontal="left" vertical="center"/>
    </xf>
    <xf numFmtId="0" fontId="23" fillId="2" borderId="2" xfId="10" applyFont="1" applyFill="1" applyBorder="1" applyAlignment="1">
      <alignment horizontal="left" vertical="center"/>
    </xf>
    <xf numFmtId="0" fontId="23" fillId="2" borderId="55" xfId="10" applyFont="1" applyFill="1" applyBorder="1" applyAlignment="1">
      <alignment horizontal="left" vertical="center"/>
    </xf>
    <xf numFmtId="0" fontId="23" fillId="2" borderId="40" xfId="10" applyFont="1" applyFill="1" applyBorder="1" applyAlignment="1">
      <alignment horizontal="left" vertical="center"/>
    </xf>
    <xf numFmtId="0" fontId="24" fillId="3" borderId="30" xfId="10" applyFont="1" applyFill="1" applyBorder="1" applyAlignment="1">
      <alignment horizontal="center" vertical="center" wrapText="1"/>
    </xf>
    <xf numFmtId="0" fontId="24" fillId="3" borderId="36" xfId="10" applyFont="1" applyFill="1" applyBorder="1" applyAlignment="1">
      <alignment horizontal="center" vertical="center" wrapText="1"/>
    </xf>
    <xf numFmtId="0" fontId="24" fillId="3" borderId="29" xfId="10" applyFont="1" applyFill="1" applyBorder="1" applyAlignment="1">
      <alignment horizontal="center" vertical="center" wrapText="1"/>
    </xf>
    <xf numFmtId="0" fontId="24" fillId="3" borderId="41" xfId="10" applyFont="1" applyFill="1" applyBorder="1" applyAlignment="1">
      <alignment horizontal="center" vertical="center" wrapText="1"/>
    </xf>
    <xf numFmtId="0" fontId="24" fillId="3" borderId="57" xfId="10" applyFont="1" applyFill="1" applyBorder="1" applyAlignment="1">
      <alignment horizontal="center" vertical="center" wrapText="1"/>
    </xf>
    <xf numFmtId="0" fontId="24" fillId="3" borderId="56" xfId="10" applyFont="1" applyFill="1" applyBorder="1" applyAlignment="1">
      <alignment horizontal="center" vertical="center" wrapText="1"/>
    </xf>
    <xf numFmtId="0" fontId="21" fillId="0" borderId="61" xfId="9" applyNumberFormat="1" applyFont="1" applyBorder="1" applyAlignment="1" applyProtection="1">
      <alignment horizontal="left" vertical="center"/>
      <protection locked="0"/>
    </xf>
    <xf numFmtId="0" fontId="24" fillId="3" borderId="25" xfId="10" applyFont="1" applyFill="1" applyBorder="1" applyAlignment="1">
      <alignment horizontal="center" vertical="center" wrapText="1"/>
    </xf>
    <xf numFmtId="0" fontId="24" fillId="3" borderId="15" xfId="10" applyFont="1" applyFill="1" applyBorder="1" applyAlignment="1">
      <alignment horizontal="center" vertical="center" wrapText="1"/>
    </xf>
    <xf numFmtId="0" fontId="24" fillId="3" borderId="42" xfId="10" applyFont="1" applyFill="1" applyBorder="1" applyAlignment="1">
      <alignment horizontal="center" vertical="center" wrapText="1"/>
    </xf>
    <xf numFmtId="0" fontId="24" fillId="3" borderId="52" xfId="10" applyFont="1" applyFill="1" applyBorder="1" applyAlignment="1">
      <alignment horizontal="center" vertical="center" wrapText="1"/>
    </xf>
    <xf numFmtId="0" fontId="24" fillId="3" borderId="23" xfId="10" applyFont="1" applyFill="1" applyBorder="1" applyAlignment="1">
      <alignment horizontal="center" vertical="center" wrapText="1"/>
    </xf>
    <xf numFmtId="0" fontId="24" fillId="3" borderId="39" xfId="10" applyFont="1" applyFill="1" applyBorder="1" applyAlignment="1">
      <alignment horizontal="center" vertical="center" wrapText="1"/>
    </xf>
    <xf numFmtId="0" fontId="24" fillId="3" borderId="6" xfId="10" applyFont="1" applyFill="1" applyBorder="1" applyAlignment="1">
      <alignment horizontal="center" vertical="center" wrapText="1"/>
    </xf>
    <xf numFmtId="0" fontId="24" fillId="3" borderId="20" xfId="10" applyFont="1" applyFill="1" applyBorder="1" applyAlignment="1">
      <alignment horizontal="center" vertical="center" wrapText="1"/>
    </xf>
    <xf numFmtId="0" fontId="24" fillId="3" borderId="50" xfId="10" applyFont="1" applyFill="1" applyBorder="1" applyAlignment="1">
      <alignment horizontal="center" vertical="center" wrapText="1"/>
    </xf>
    <xf numFmtId="0" fontId="24" fillId="3" borderId="8" xfId="10" applyFont="1" applyFill="1" applyBorder="1" applyAlignment="1">
      <alignment horizontal="center" vertical="center" wrapText="1"/>
    </xf>
    <xf numFmtId="0" fontId="24" fillId="3" borderId="30" xfId="10" applyFont="1" applyFill="1" applyBorder="1" applyAlignment="1">
      <alignment horizontal="center" vertical="center"/>
    </xf>
    <xf numFmtId="0" fontId="24" fillId="3" borderId="36" xfId="10" applyFont="1" applyFill="1" applyBorder="1" applyAlignment="1">
      <alignment horizontal="center" vertical="center"/>
    </xf>
    <xf numFmtId="0" fontId="24" fillId="3" borderId="46" xfId="10" applyFont="1" applyFill="1" applyBorder="1" applyAlignment="1">
      <alignment horizontal="center" vertical="center" wrapText="1"/>
    </xf>
    <xf numFmtId="0" fontId="24" fillId="3" borderId="27" xfId="10" applyFont="1" applyFill="1" applyBorder="1" applyAlignment="1">
      <alignment horizontal="center" vertical="center" wrapText="1"/>
    </xf>
    <xf numFmtId="0" fontId="24" fillId="3" borderId="58" xfId="10" applyFont="1" applyFill="1" applyBorder="1" applyAlignment="1">
      <alignment horizontal="center" vertical="center" wrapText="1"/>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9" borderId="3" xfId="0" applyFont="1" applyFill="1" applyBorder="1" applyAlignment="1" applyProtection="1">
      <alignment horizontal="center" vertical="center"/>
      <protection locked="0"/>
    </xf>
    <xf numFmtId="0" fontId="7" fillId="9" borderId="1" xfId="0" applyFont="1" applyFill="1" applyBorder="1" applyAlignment="1" applyProtection="1">
      <alignment horizontal="center" vertical="center"/>
      <protection locked="0"/>
    </xf>
    <xf numFmtId="0" fontId="7" fillId="9" borderId="2" xfId="0" applyFont="1" applyFill="1" applyBorder="1" applyAlignment="1" applyProtection="1">
      <alignment horizontal="center" vertical="center"/>
      <protection locked="0"/>
    </xf>
    <xf numFmtId="0" fontId="9" fillId="3" borderId="19"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34" xfId="0" applyFont="1" applyFill="1" applyBorder="1" applyAlignment="1">
      <alignment horizontal="center" vertical="center"/>
    </xf>
    <xf numFmtId="9" fontId="7" fillId="9" borderId="3" xfId="12" applyFont="1" applyFill="1" applyBorder="1" applyAlignment="1" applyProtection="1">
      <alignment horizontal="left" vertical="center"/>
      <protection locked="0"/>
    </xf>
    <xf numFmtId="9" fontId="7" fillId="9" borderId="31" xfId="12" applyFont="1" applyFill="1" applyBorder="1" applyAlignment="1" applyProtection="1">
      <alignment horizontal="left" vertical="center"/>
      <protection locked="0"/>
    </xf>
    <xf numFmtId="0" fontId="8"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7" fillId="2" borderId="3" xfId="0" applyFont="1" applyFill="1" applyBorder="1" applyAlignment="1">
      <alignment horizontal="left" vertical="center"/>
    </xf>
    <xf numFmtId="0" fontId="7" fillId="2" borderId="2" xfId="0" applyFont="1" applyFill="1" applyBorder="1" applyAlignment="1">
      <alignment horizontal="left" vertical="center"/>
    </xf>
    <xf numFmtId="0" fontId="7" fillId="10" borderId="19"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10" borderId="34" xfId="0" applyFont="1" applyFill="1" applyBorder="1" applyAlignment="1">
      <alignment horizontal="center" vertical="center" wrapText="1"/>
    </xf>
    <xf numFmtId="0" fontId="9" fillId="3" borderId="17" xfId="0" applyFont="1" applyFill="1" applyBorder="1" applyAlignment="1">
      <alignment horizontal="center" vertical="center"/>
    </xf>
    <xf numFmtId="0" fontId="8" fillId="2" borderId="54" xfId="0" applyFont="1" applyFill="1" applyBorder="1" applyAlignment="1">
      <alignment horizontal="left" vertical="center" wrapText="1"/>
    </xf>
    <xf numFmtId="0" fontId="8" fillId="2" borderId="55" xfId="0" applyFont="1" applyFill="1" applyBorder="1" applyAlignment="1">
      <alignment horizontal="left" vertical="center" wrapText="1"/>
    </xf>
    <xf numFmtId="0" fontId="8" fillId="2" borderId="61" xfId="0" applyFont="1" applyFill="1" applyBorder="1" applyAlignment="1">
      <alignment horizontal="left" vertical="center" wrapText="1"/>
    </xf>
    <xf numFmtId="0" fontId="7" fillId="2" borderId="65" xfId="0" applyFont="1" applyFill="1" applyBorder="1" applyAlignment="1">
      <alignment horizontal="left" vertical="center"/>
    </xf>
    <xf numFmtId="0" fontId="7" fillId="2" borderId="10" xfId="0" applyFont="1" applyFill="1" applyBorder="1" applyAlignment="1">
      <alignment horizontal="left" vertical="center"/>
    </xf>
    <xf numFmtId="0" fontId="9" fillId="3" borderId="2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6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8" fillId="2" borderId="65" xfId="0" applyFont="1" applyFill="1" applyBorder="1" applyAlignment="1">
      <alignment horizontal="left" vertical="center"/>
    </xf>
    <xf numFmtId="0" fontId="8" fillId="2" borderId="10" xfId="0" applyFont="1" applyFill="1" applyBorder="1" applyAlignment="1">
      <alignment horizontal="left" vertical="center"/>
    </xf>
    <xf numFmtId="9" fontId="7" fillId="9" borderId="66" xfId="12" applyFont="1" applyFill="1" applyBorder="1" applyAlignment="1" applyProtection="1">
      <alignment horizontal="left" vertical="center"/>
      <protection locked="0"/>
    </xf>
    <xf numFmtId="9" fontId="7" fillId="9" borderId="48" xfId="12" applyFont="1" applyFill="1" applyBorder="1" applyAlignment="1" applyProtection="1">
      <alignment horizontal="left" vertical="center"/>
      <protection locked="0"/>
    </xf>
    <xf numFmtId="0" fontId="7" fillId="9" borderId="7" xfId="0" applyFont="1" applyFill="1" applyBorder="1" applyAlignment="1" applyProtection="1">
      <alignment horizontal="left" vertical="center"/>
      <protection locked="0"/>
    </xf>
    <xf numFmtId="0" fontId="7" fillId="9" borderId="4" xfId="0" applyFont="1" applyFill="1" applyBorder="1" applyAlignment="1" applyProtection="1">
      <alignment horizontal="left" vertical="center"/>
      <protection locked="0"/>
    </xf>
    <xf numFmtId="169" fontId="28" fillId="9" borderId="4" xfId="0" applyNumberFormat="1" applyFont="1" applyFill="1" applyBorder="1" applyAlignment="1" applyProtection="1">
      <alignment horizontal="left" vertical="center"/>
      <protection locked="0"/>
    </xf>
    <xf numFmtId="169" fontId="28" fillId="9" borderId="33" xfId="0" applyNumberFormat="1" applyFont="1" applyFill="1" applyBorder="1" applyAlignment="1" applyProtection="1">
      <alignment horizontal="left" vertical="center"/>
      <protection locked="0"/>
    </xf>
    <xf numFmtId="0" fontId="7" fillId="9" borderId="7" xfId="0" applyFont="1" applyFill="1" applyBorder="1" applyAlignment="1" applyProtection="1">
      <alignment horizontal="center" vertical="center"/>
      <protection locked="0"/>
    </xf>
    <xf numFmtId="0" fontId="7" fillId="9" borderId="4" xfId="0" applyFont="1" applyFill="1" applyBorder="1" applyAlignment="1" applyProtection="1">
      <alignment horizontal="center" vertical="center"/>
      <protection locked="0"/>
    </xf>
    <xf numFmtId="0" fontId="8" fillId="0" borderId="8" xfId="0" applyFont="1" applyBorder="1" applyAlignment="1">
      <alignment horizontal="left" vertical="center"/>
    </xf>
    <xf numFmtId="0" fontId="8" fillId="0" borderId="9" xfId="0" applyFont="1" applyBorder="1" applyAlignment="1">
      <alignment horizontal="left" vertical="center"/>
    </xf>
    <xf numFmtId="0" fontId="28" fillId="9" borderId="66" xfId="0" applyFont="1" applyFill="1" applyBorder="1" applyAlignment="1" applyProtection="1">
      <alignment horizontal="left" vertical="center"/>
      <protection locked="0"/>
    </xf>
    <xf numFmtId="0" fontId="28" fillId="9" borderId="10" xfId="0" applyFont="1" applyFill="1" applyBorder="1" applyAlignment="1" applyProtection="1">
      <alignment horizontal="left" vertical="center"/>
      <protection locked="0"/>
    </xf>
    <xf numFmtId="0" fontId="28" fillId="9" borderId="48" xfId="0" applyFont="1" applyFill="1" applyBorder="1" applyAlignment="1" applyProtection="1">
      <alignment horizontal="left" vertical="center"/>
      <protection locked="0"/>
    </xf>
    <xf numFmtId="0" fontId="0" fillId="2" borderId="4" xfId="0" applyFill="1" applyBorder="1" applyAlignment="1">
      <alignment horizontal="center" vertical="center"/>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0" borderId="65" xfId="0" applyFont="1" applyBorder="1" applyAlignment="1">
      <alignment horizontal="right" vertical="center"/>
    </xf>
    <xf numFmtId="0" fontId="8" fillId="0" borderId="10" xfId="0" applyFont="1" applyBorder="1" applyAlignment="1">
      <alignment horizontal="right" vertical="center"/>
    </xf>
    <xf numFmtId="0" fontId="8" fillId="0" borderId="16" xfId="0" applyFont="1" applyBorder="1" applyAlignment="1">
      <alignment horizontal="right" vertical="center"/>
    </xf>
    <xf numFmtId="0" fontId="8" fillId="0" borderId="69" xfId="0" applyFont="1" applyBorder="1" applyAlignment="1">
      <alignment horizontal="right" vertical="center"/>
    </xf>
    <xf numFmtId="0" fontId="8" fillId="0" borderId="14" xfId="0" applyFont="1" applyBorder="1" applyAlignment="1">
      <alignment horizontal="right" vertical="center"/>
    </xf>
    <xf numFmtId="0" fontId="8" fillId="0" borderId="43" xfId="0" applyFont="1" applyBorder="1" applyAlignment="1">
      <alignment horizontal="right" vertical="center"/>
    </xf>
  </cellXfs>
  <cellStyles count="17">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Milliers_Fiche budget 7" xfId="15"/>
    <cellStyle name="Monétaire 2" xfId="16"/>
    <cellStyle name="Monétaire_Fiche budget 7" xfId="14"/>
    <cellStyle name="Normal" xfId="0" builtinId="0"/>
    <cellStyle name="Normal 2" xfId="2"/>
    <cellStyle name="Normal 3" xfId="10"/>
    <cellStyle name="Normal 4" xfId="13"/>
    <cellStyle name="Pourcentage" xfId="9" builtinId="5"/>
    <cellStyle name="Pourcentage 2" xfId="11"/>
    <cellStyle name="Pourcentage 3" xfId="12"/>
  </cellStyles>
  <dxfs count="75">
    <dxf>
      <font>
        <color rgb="FF009A46"/>
      </font>
      <fill>
        <patternFill>
          <bgColor theme="0"/>
        </patternFill>
      </fill>
    </dxf>
    <dxf>
      <font>
        <color rgb="FFE84242"/>
      </font>
      <fill>
        <patternFill patternType="none">
          <bgColor auto="1"/>
        </patternFill>
      </fill>
    </dxf>
    <dxf>
      <font>
        <color rgb="FFFF0000"/>
      </font>
    </dxf>
    <dxf>
      <font>
        <color rgb="FFFF0000"/>
      </font>
    </dxf>
    <dxf>
      <font>
        <color rgb="FFFF0000"/>
      </font>
    </dxf>
    <dxf>
      <font>
        <color rgb="FF009A46"/>
      </font>
      <fill>
        <patternFill>
          <bgColor theme="0"/>
        </patternFill>
      </fill>
    </dxf>
    <dxf>
      <font>
        <color rgb="FFE84242"/>
      </font>
      <fill>
        <patternFill patternType="none">
          <bgColor auto="1"/>
        </patternFill>
      </fill>
    </dxf>
    <dxf>
      <font>
        <color rgb="FF009A46"/>
      </font>
      <fill>
        <patternFill>
          <bgColor theme="0"/>
        </patternFill>
      </fill>
    </dxf>
    <dxf>
      <font>
        <color rgb="FFE84242"/>
      </font>
      <fill>
        <patternFill patternType="none">
          <bgColor auto="1"/>
        </patternFill>
      </fill>
    </dxf>
    <dxf>
      <fill>
        <patternFill>
          <bgColor rgb="FFFAF0F0"/>
        </patternFill>
      </fill>
    </dxf>
    <dxf>
      <font>
        <color rgb="FFE84242"/>
      </font>
    </dxf>
    <dxf>
      <fill>
        <patternFill>
          <bgColor rgb="FFFAF0F0"/>
        </patternFill>
      </fill>
    </dxf>
    <dxf>
      <font>
        <color rgb="FFE84242"/>
      </font>
    </dxf>
    <dxf>
      <fill>
        <patternFill>
          <bgColor rgb="FFFAF0F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rgb="FFFAF0F0"/>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rgb="FFFAF0F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CCFF66"/>
      <color rgb="FFFAF0F0"/>
      <color rgb="FFFF8E8E"/>
      <color rgb="FFE84242"/>
      <color rgb="FFF0F8FA"/>
      <color rgb="FFF4F7ED"/>
      <color rgb="FFF8EDEC"/>
      <color rgb="FFFBE1E1"/>
      <color rgb="FF009A46"/>
      <color rgb="FFFCF6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905436</xdr:colOff>
      <xdr:row>7</xdr:row>
      <xdr:rowOff>206188</xdr:rowOff>
    </xdr:from>
    <xdr:ext cx="6304483" cy="937629"/>
    <xdr:sp macro="" textlink="">
      <xdr:nvSpPr>
        <xdr:cNvPr id="2" name="Rectangle 1">
          <a:extLst>
            <a:ext uri="{FF2B5EF4-FFF2-40B4-BE49-F238E27FC236}">
              <a16:creationId xmlns:a16="http://schemas.microsoft.com/office/drawing/2014/main" id="{00000000-0008-0000-0100-000002000000}"/>
            </a:ext>
          </a:extLst>
        </xdr:cNvPr>
        <xdr:cNvSpPr/>
      </xdr:nvSpPr>
      <xdr:spPr>
        <a:xfrm rot="19040981">
          <a:off x="1694330" y="2626659"/>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22860</xdr:colOff>
      <xdr:row>13</xdr:row>
      <xdr:rowOff>76200</xdr:rowOff>
    </xdr:from>
    <xdr:to>
      <xdr:col>1</xdr:col>
      <xdr:colOff>6690360</xdr:colOff>
      <xdr:row>19</xdr:row>
      <xdr:rowOff>138783</xdr:rowOff>
    </xdr:to>
    <xdr:pic>
      <xdr:nvPicPr>
        <xdr:cNvPr id="12" name="Image 1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 y="5829300"/>
          <a:ext cx="6667500" cy="10684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1305462</xdr:colOff>
      <xdr:row>9</xdr:row>
      <xdr:rowOff>487495</xdr:rowOff>
    </xdr:from>
    <xdr:ext cx="6304483" cy="937629"/>
    <xdr:sp macro="" textlink="">
      <xdr:nvSpPr>
        <xdr:cNvPr id="3" name="Rectangle 2">
          <a:extLst>
            <a:ext uri="{FF2B5EF4-FFF2-40B4-BE49-F238E27FC236}">
              <a16:creationId xmlns:a16="http://schemas.microsoft.com/office/drawing/2014/main" id="{00000000-0008-0000-0200-000003000000}"/>
            </a:ext>
          </a:extLst>
        </xdr:cNvPr>
        <xdr:cNvSpPr/>
      </xdr:nvSpPr>
      <xdr:spPr>
        <a:xfrm rot="19040981">
          <a:off x="2097942" y="2575375"/>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797859</xdr:colOff>
      <xdr:row>12</xdr:row>
      <xdr:rowOff>261473</xdr:rowOff>
    </xdr:from>
    <xdr:ext cx="6304483" cy="937629"/>
    <xdr:sp macro="" textlink="">
      <xdr:nvSpPr>
        <xdr:cNvPr id="2" name="Rectangle 1">
          <a:extLst>
            <a:ext uri="{FF2B5EF4-FFF2-40B4-BE49-F238E27FC236}">
              <a16:creationId xmlns:a16="http://schemas.microsoft.com/office/drawing/2014/main" id="{00000000-0008-0000-0500-000002000000}"/>
            </a:ext>
          </a:extLst>
        </xdr:cNvPr>
        <xdr:cNvSpPr/>
      </xdr:nvSpPr>
      <xdr:spPr>
        <a:xfrm rot="19040981">
          <a:off x="1275977" y="2928473"/>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797860</xdr:colOff>
      <xdr:row>12</xdr:row>
      <xdr:rowOff>224120</xdr:rowOff>
    </xdr:from>
    <xdr:ext cx="6304483" cy="937629"/>
    <xdr:sp macro="" textlink="">
      <xdr:nvSpPr>
        <xdr:cNvPr id="2" name="Rectangle 1">
          <a:extLst>
            <a:ext uri="{FF2B5EF4-FFF2-40B4-BE49-F238E27FC236}">
              <a16:creationId xmlns:a16="http://schemas.microsoft.com/office/drawing/2014/main" id="{00000000-0008-0000-0600-000002000000}"/>
            </a:ext>
          </a:extLst>
        </xdr:cNvPr>
        <xdr:cNvSpPr/>
      </xdr:nvSpPr>
      <xdr:spPr>
        <a:xfrm rot="19040981">
          <a:off x="1270300" y="2913980"/>
          <a:ext cx="6304483" cy="937629"/>
        </a:xfrm>
        <a:prstGeom prst="rect">
          <a:avLst/>
        </a:prstGeom>
        <a:noFill/>
      </xdr:spPr>
      <xdr:txBody>
        <a:bodyPr wrap="none" lIns="91440" tIns="45720" rIns="91440" bIns="45720">
          <a:spAutoFit/>
        </a:bodyPr>
        <a:lstStyle/>
        <a:p>
          <a:pPr algn="ctr"/>
          <a:r>
            <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rPr>
            <a:t>VERSION</a:t>
          </a:r>
          <a:r>
            <a:rPr lang="fr-FR" sz="5400" b="1" cap="none" spc="0" baseline="0">
              <a:ln w="10160">
                <a:solidFill>
                  <a:srgbClr val="E84242">
                    <a:alpha val="42000"/>
                  </a:srgbClr>
                </a:solidFill>
                <a:prstDash val="solid"/>
              </a:ln>
              <a:noFill/>
              <a:effectLst>
                <a:outerShdw blurRad="38100" dist="22860" dir="5400000" algn="tl" rotWithShape="0">
                  <a:srgbClr val="000000">
                    <a:alpha val="30000"/>
                  </a:srgbClr>
                </a:outerShdw>
              </a:effectLst>
            </a:rPr>
            <a:t> DE TRAVAIL</a:t>
          </a:r>
          <a:endParaRPr lang="fr-FR" sz="5400" b="1" cap="none" spc="0">
            <a:ln w="10160">
              <a:solidFill>
                <a:srgbClr val="E84242">
                  <a:alpha val="42000"/>
                </a:srgbClr>
              </a:solidFill>
              <a:prstDash val="solid"/>
            </a:ln>
            <a:noFill/>
            <a:effectLst>
              <a:outerShdw blurRad="38100" dist="22860" dir="5400000" algn="tl" rotWithShape="0">
                <a:srgbClr val="000000">
                  <a:alpha val="30000"/>
                </a:srgb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valley/ownCloud/SERVICE%20PCF/CONTROLE%20DE%20GESTION/MAQUETTES/NVLLE%20ACCREDITATION/Outil%20maquette_version%20de%20travail%20202103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valley/ownCloud/SERVICE%20PCF/CONTROLE%20DE%20GESTION/MAQUETTES/FC/0%20-%20MODELES/maquette%20vierge%2020210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sheetName val="Référentiel accompagnement"/>
      <sheetName val="Mode opératoire"/>
      <sheetName val="L1"/>
      <sheetName val="L2"/>
      <sheetName val="L3P1"/>
      <sheetName val="L3P2"/>
      <sheetName val="L3P3"/>
      <sheetName val="Paramétr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3">
          <cell r="C23" t="str">
            <v>SPSUIV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opératoire"/>
      <sheetName val="Enseignements"/>
      <sheetName val="Recettes et simulat"/>
      <sheetName val="Budget détaillé"/>
      <sheetName val="Indicateurs V2"/>
      <sheetName val="Budget détaillé heures comp"/>
      <sheetName val="Synthèse"/>
      <sheetName val="Référentiel accompagnement"/>
      <sheetName val="Détail FI"/>
      <sheetName val="Feuil1"/>
    </sheetNames>
    <sheetDataSet>
      <sheetData sheetId="0"/>
      <sheetData sheetId="1"/>
      <sheetData sheetId="2"/>
      <sheetData sheetId="3">
        <row r="62">
          <cell r="K62">
            <v>10320</v>
          </cell>
        </row>
        <row r="63">
          <cell r="K63">
            <v>2064</v>
          </cell>
        </row>
        <row r="77">
          <cell r="J77">
            <v>0</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6"/>
  <sheetViews>
    <sheetView zoomScale="85" zoomScaleNormal="85" workbookViewId="0">
      <selection activeCell="D8" sqref="D8"/>
    </sheetView>
  </sheetViews>
  <sheetFormatPr baseColWidth="10" defaultColWidth="11.5546875" defaultRowHeight="13.2" x14ac:dyDescent="0.25"/>
  <cols>
    <col min="1" max="1" width="11.5546875" style="30"/>
    <col min="2" max="2" width="23.109375" style="30" customWidth="1"/>
    <col min="3" max="3" width="63.33203125" style="30" customWidth="1"/>
    <col min="4" max="5" width="11.109375" style="30" customWidth="1"/>
    <col min="6" max="16384" width="11.5546875" style="30"/>
  </cols>
  <sheetData>
    <row r="2" spans="1:5" ht="41.4" x14ac:dyDescent="0.25">
      <c r="A2" s="23" t="s">
        <v>0</v>
      </c>
      <c r="B2" s="23" t="s">
        <v>1</v>
      </c>
      <c r="C2" s="23" t="s">
        <v>2</v>
      </c>
      <c r="D2" s="23" t="s">
        <v>3</v>
      </c>
      <c r="E2" s="23" t="s">
        <v>4</v>
      </c>
    </row>
    <row r="3" spans="1:5" ht="13.8" x14ac:dyDescent="0.25">
      <c r="A3" s="27" t="s">
        <v>5</v>
      </c>
      <c r="B3" s="21" t="s">
        <v>6</v>
      </c>
      <c r="C3" s="21"/>
      <c r="D3" s="21"/>
      <c r="E3" s="22"/>
    </row>
    <row r="4" spans="1:5" ht="37.799999999999997" x14ac:dyDescent="0.25">
      <c r="A4" s="456" t="s">
        <v>7</v>
      </c>
      <c r="B4" s="457" t="s">
        <v>8</v>
      </c>
      <c r="C4" s="19" t="s">
        <v>9</v>
      </c>
      <c r="D4" s="20" t="s">
        <v>10</v>
      </c>
      <c r="E4" s="24"/>
    </row>
    <row r="5" spans="1:5" ht="25.2" x14ac:dyDescent="0.25">
      <c r="A5" s="453"/>
      <c r="B5" s="454"/>
      <c r="C5" s="14" t="s">
        <v>11</v>
      </c>
      <c r="D5" s="25"/>
      <c r="E5" s="20" t="s">
        <v>10</v>
      </c>
    </row>
    <row r="6" spans="1:5" ht="25.2" x14ac:dyDescent="0.25">
      <c r="A6" s="453" t="s">
        <v>12</v>
      </c>
      <c r="B6" s="454" t="s">
        <v>13</v>
      </c>
      <c r="C6" s="14" t="s">
        <v>14</v>
      </c>
      <c r="D6" s="20" t="s">
        <v>10</v>
      </c>
      <c r="E6" s="25"/>
    </row>
    <row r="7" spans="1:5" ht="32.4" customHeight="1" x14ac:dyDescent="0.25">
      <c r="A7" s="453"/>
      <c r="B7" s="454"/>
      <c r="C7" s="14" t="s">
        <v>15</v>
      </c>
      <c r="D7" s="25"/>
      <c r="E7" s="20" t="s">
        <v>10</v>
      </c>
    </row>
    <row r="8" spans="1:5" ht="36" x14ac:dyDescent="0.25">
      <c r="A8" s="28" t="s">
        <v>16</v>
      </c>
      <c r="B8" s="16" t="s">
        <v>17</v>
      </c>
      <c r="C8" s="14" t="s">
        <v>18</v>
      </c>
      <c r="D8" s="20" t="s">
        <v>10</v>
      </c>
      <c r="E8" s="25"/>
    </row>
    <row r="9" spans="1:5" ht="50.4" x14ac:dyDescent="0.25">
      <c r="A9" s="28" t="s">
        <v>19</v>
      </c>
      <c r="B9" s="15" t="s">
        <v>20</v>
      </c>
      <c r="C9" s="14" t="s">
        <v>21</v>
      </c>
      <c r="D9" s="25"/>
      <c r="E9" s="20" t="s">
        <v>10</v>
      </c>
    </row>
    <row r="10" spans="1:5" ht="24" x14ac:dyDescent="0.25">
      <c r="A10" s="28" t="s">
        <v>22</v>
      </c>
      <c r="B10" s="16" t="s">
        <v>23</v>
      </c>
      <c r="C10" s="17" t="s">
        <v>24</v>
      </c>
      <c r="D10" s="18"/>
      <c r="E10" s="18"/>
    </row>
    <row r="11" spans="1:5" ht="13.8" x14ac:dyDescent="0.25">
      <c r="A11" s="27" t="s">
        <v>25</v>
      </c>
      <c r="B11" s="21" t="s">
        <v>26</v>
      </c>
      <c r="C11" s="21"/>
      <c r="D11" s="21"/>
      <c r="E11" s="22"/>
    </row>
    <row r="12" spans="1:5" ht="25.2" x14ac:dyDescent="0.25">
      <c r="A12" s="453" t="s">
        <v>27</v>
      </c>
      <c r="B12" s="455" t="s">
        <v>28</v>
      </c>
      <c r="C12" s="14" t="s">
        <v>29</v>
      </c>
      <c r="D12" s="20" t="s">
        <v>10</v>
      </c>
      <c r="E12" s="13"/>
    </row>
    <row r="13" spans="1:5" ht="26.4" customHeight="1" x14ac:dyDescent="0.25">
      <c r="A13" s="453"/>
      <c r="B13" s="455"/>
      <c r="C13" s="14" t="s">
        <v>30</v>
      </c>
      <c r="D13" s="20" t="s">
        <v>10</v>
      </c>
      <c r="E13" s="13"/>
    </row>
    <row r="14" spans="1:5" ht="21" customHeight="1" x14ac:dyDescent="0.25">
      <c r="A14" s="453"/>
      <c r="B14" s="455"/>
      <c r="C14" s="14" t="s">
        <v>31</v>
      </c>
      <c r="D14" s="26"/>
      <c r="E14" s="20" t="s">
        <v>10</v>
      </c>
    </row>
    <row r="15" spans="1:5" ht="25.2" x14ac:dyDescent="0.25">
      <c r="A15" s="28" t="s">
        <v>32</v>
      </c>
      <c r="B15" s="15" t="s">
        <v>33</v>
      </c>
      <c r="C15" s="14" t="s">
        <v>34</v>
      </c>
      <c r="D15" s="26"/>
      <c r="E15" s="20" t="s">
        <v>10</v>
      </c>
    </row>
    <row r="16" spans="1:5" ht="18" customHeight="1" x14ac:dyDescent="0.25">
      <c r="A16" s="28" t="s">
        <v>35</v>
      </c>
      <c r="B16" s="15" t="s">
        <v>36</v>
      </c>
      <c r="C16" s="18"/>
      <c r="D16" s="18"/>
      <c r="E16" s="18"/>
    </row>
  </sheetData>
  <mergeCells count="6">
    <mergeCell ref="A6:A7"/>
    <mergeCell ref="B6:B7"/>
    <mergeCell ref="A12:A14"/>
    <mergeCell ref="B12:B14"/>
    <mergeCell ref="A4:A5"/>
    <mergeCell ref="B4:B5"/>
  </mergeCells>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B2:B44"/>
  <sheetViews>
    <sheetView workbookViewId="0">
      <selection activeCell="B23" sqref="B23"/>
    </sheetView>
  </sheetViews>
  <sheetFormatPr baseColWidth="10" defaultColWidth="11.5546875" defaultRowHeight="13.2" outlineLevelRow="1" x14ac:dyDescent="0.25"/>
  <cols>
    <col min="1" max="1" width="11.5546875" style="5"/>
    <col min="2" max="2" width="138.44140625" style="5" customWidth="1"/>
    <col min="3" max="16384" width="11.5546875" style="5"/>
  </cols>
  <sheetData>
    <row r="2" spans="2:2" ht="26.4" customHeight="1" x14ac:dyDescent="0.25">
      <c r="B2" s="29" t="s">
        <v>37</v>
      </c>
    </row>
    <row r="3" spans="2:2" ht="26.4" x14ac:dyDescent="0.25">
      <c r="B3" s="3" t="s">
        <v>38</v>
      </c>
    </row>
    <row r="5" spans="2:2" ht="22.2" customHeight="1" x14ac:dyDescent="0.25">
      <c r="B5" s="11" t="s">
        <v>39</v>
      </c>
    </row>
    <row r="6" spans="2:2" ht="21" customHeight="1" x14ac:dyDescent="0.25">
      <c r="B6" s="3" t="s">
        <v>40</v>
      </c>
    </row>
    <row r="7" spans="2:2" ht="26.4" outlineLevel="1" x14ac:dyDescent="0.25">
      <c r="B7" s="3" t="s">
        <v>41</v>
      </c>
    </row>
    <row r="8" spans="2:2" ht="24" hidden="1" customHeight="1" outlineLevel="1" x14ac:dyDescent="0.25">
      <c r="B8" s="9" t="s">
        <v>42</v>
      </c>
    </row>
    <row r="9" spans="2:2" ht="16.95" customHeight="1" outlineLevel="1" x14ac:dyDescent="0.25">
      <c r="B9" s="3" t="s">
        <v>43</v>
      </c>
    </row>
    <row r="10" spans="2:2" ht="95.4" customHeight="1" outlineLevel="1" x14ac:dyDescent="0.25">
      <c r="B10" s="3" t="s">
        <v>44</v>
      </c>
    </row>
    <row r="11" spans="2:2" ht="39" customHeight="1" outlineLevel="1" x14ac:dyDescent="0.25">
      <c r="B11" s="8" t="s">
        <v>45</v>
      </c>
    </row>
    <row r="12" spans="2:2" ht="41.4" customHeight="1" outlineLevel="1" x14ac:dyDescent="0.25">
      <c r="B12" s="3" t="s">
        <v>46</v>
      </c>
    </row>
    <row r="13" spans="2:2" ht="79.2" outlineLevel="1" x14ac:dyDescent="0.25">
      <c r="B13" s="3" t="s">
        <v>47</v>
      </c>
    </row>
    <row r="14" spans="2:2" outlineLevel="1" x14ac:dyDescent="0.25"/>
    <row r="15" spans="2:2" outlineLevel="1" x14ac:dyDescent="0.25"/>
    <row r="16" spans="2:2" outlineLevel="1" x14ac:dyDescent="0.25"/>
    <row r="17" spans="2:2" outlineLevel="1" x14ac:dyDescent="0.25"/>
    <row r="18" spans="2:2" outlineLevel="1" x14ac:dyDescent="0.25"/>
    <row r="19" spans="2:2" outlineLevel="1" x14ac:dyDescent="0.25"/>
    <row r="20" spans="2:2" outlineLevel="1" x14ac:dyDescent="0.25"/>
    <row r="21" spans="2:2" outlineLevel="1" x14ac:dyDescent="0.25">
      <c r="B21" s="3"/>
    </row>
    <row r="22" spans="2:2" ht="21" customHeight="1" x14ac:dyDescent="0.25">
      <c r="B22" s="6" t="s">
        <v>48</v>
      </c>
    </row>
    <row r="23" spans="2:2" ht="66" outlineLevel="1" x14ac:dyDescent="0.25">
      <c r="B23" s="3" t="s">
        <v>49</v>
      </c>
    </row>
    <row r="24" spans="2:2" ht="12.6" customHeight="1" outlineLevel="1" x14ac:dyDescent="0.25">
      <c r="B24" s="3" t="s">
        <v>50</v>
      </c>
    </row>
    <row r="25" spans="2:2" s="1" customFormat="1" ht="35.4" customHeight="1" outlineLevel="1" x14ac:dyDescent="0.25">
      <c r="B25" s="7" t="s">
        <v>51</v>
      </c>
    </row>
    <row r="26" spans="2:2" s="1" customFormat="1" ht="20.399999999999999" customHeight="1" outlineLevel="1" x14ac:dyDescent="0.25">
      <c r="B26" s="2" t="s">
        <v>52</v>
      </c>
    </row>
    <row r="27" spans="2:2" ht="13.2" customHeight="1" outlineLevel="1" x14ac:dyDescent="0.25">
      <c r="B27" s="3"/>
    </row>
    <row r="28" spans="2:2" ht="21" customHeight="1" x14ac:dyDescent="0.25">
      <c r="B28" s="6" t="s">
        <v>53</v>
      </c>
    </row>
    <row r="29" spans="2:2" ht="26.4" outlineLevel="1" x14ac:dyDescent="0.25">
      <c r="B29" s="12" t="s">
        <v>54</v>
      </c>
    </row>
    <row r="30" spans="2:2" ht="26.4" outlineLevel="1" x14ac:dyDescent="0.25">
      <c r="B30" s="12" t="s">
        <v>55</v>
      </c>
    </row>
    <row r="31" spans="2:2" outlineLevel="1" x14ac:dyDescent="0.25">
      <c r="B31" s="7" t="s">
        <v>56</v>
      </c>
    </row>
    <row r="32" spans="2:2" x14ac:dyDescent="0.25">
      <c r="B32" s="7"/>
    </row>
    <row r="35" spans="2:2" x14ac:dyDescent="0.25">
      <c r="B35" s="10" t="s">
        <v>57</v>
      </c>
    </row>
    <row r="37" spans="2:2" ht="28.2" customHeight="1" x14ac:dyDescent="0.25">
      <c r="B37" s="4" t="s">
        <v>58</v>
      </c>
    </row>
    <row r="38" spans="2:2" ht="23.4" customHeight="1" x14ac:dyDescent="0.25">
      <c r="B38" s="3" t="s">
        <v>59</v>
      </c>
    </row>
    <row r="39" spans="2:2" ht="46.95" customHeight="1" x14ac:dyDescent="0.25">
      <c r="B39" s="3" t="s">
        <v>60</v>
      </c>
    </row>
    <row r="40" spans="2:2" ht="26.4" x14ac:dyDescent="0.25">
      <c r="B40" s="3" t="s">
        <v>61</v>
      </c>
    </row>
    <row r="42" spans="2:2" ht="19.95" customHeight="1" x14ac:dyDescent="0.25">
      <c r="B42" s="6" t="s">
        <v>53</v>
      </c>
    </row>
    <row r="43" spans="2:2" x14ac:dyDescent="0.25">
      <c r="B43" s="12" t="s">
        <v>62</v>
      </c>
    </row>
    <row r="44" spans="2:2" x14ac:dyDescent="0.25">
      <c r="B44" s="12" t="s">
        <v>63</v>
      </c>
    </row>
  </sheetData>
  <sheetProtection algorithmName="SHA-512" hashValue="Js6sUX4rWLnm/7J3SZ8CueLOSTuIQJwX/OBahjvalAUuDDwys7RJuz/huCIknwt0qkZxPY67SedZmYmoO5vt4A==" saltValue="xZakGzuOEK7tmD72+j9URQ==" spinCount="100000" sheet="1" formatCells="0" formatColumns="0" formatRows="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44"/>
  <sheetViews>
    <sheetView zoomScale="70" zoomScaleNormal="70" workbookViewId="0">
      <pane xSplit="3" ySplit="6" topLeftCell="D7" activePane="bottomRight" state="frozen"/>
      <selection pane="topRight" activeCell="E1" sqref="E1"/>
      <selection pane="bottomLeft" activeCell="A6" sqref="A6"/>
      <selection pane="bottomRight" activeCell="Y32" sqref="Y32"/>
    </sheetView>
  </sheetViews>
  <sheetFormatPr baseColWidth="10" defaultColWidth="11.5546875" defaultRowHeight="15.6" outlineLevelCol="1" x14ac:dyDescent="0.25"/>
  <cols>
    <col min="1" max="1" width="11.5546875" style="38"/>
    <col min="2" max="2" width="8.6640625" style="38" customWidth="1"/>
    <col min="3" max="3" width="31.88671875" style="39" customWidth="1"/>
    <col min="4" max="4" width="13" style="39" customWidth="1"/>
    <col min="5" max="5" width="9.33203125" style="39" customWidth="1"/>
    <col min="6" max="7" width="10" style="39" customWidth="1"/>
    <col min="8" max="10" width="11.44140625" style="39" customWidth="1"/>
    <col min="11" max="11" width="12.6640625" style="39" customWidth="1"/>
    <col min="12" max="14" width="12.33203125" style="39" customWidth="1"/>
    <col min="15" max="15" width="11.6640625" style="40" customWidth="1"/>
    <col min="16" max="26" width="12.33203125" style="39" customWidth="1"/>
    <col min="27" max="27" width="34.109375" style="39" customWidth="1"/>
    <col min="28" max="28" width="11.33203125" style="39" customWidth="1" outlineLevel="1"/>
    <col min="29" max="29" width="10.88671875" style="39" customWidth="1" outlineLevel="1"/>
    <col min="30" max="30" width="11.5546875" style="39" customWidth="1" outlineLevel="1"/>
    <col min="31" max="16384" width="11.5546875" style="39"/>
  </cols>
  <sheetData>
    <row r="1" spans="1:29" ht="18" customHeight="1" x14ac:dyDescent="0.25">
      <c r="A1" s="39"/>
    </row>
    <row r="2" spans="1:29" ht="18" customHeight="1" x14ac:dyDescent="0.25">
      <c r="A2" s="39"/>
    </row>
    <row r="3" spans="1:29" ht="18" customHeight="1" x14ac:dyDescent="0.25">
      <c r="A3" s="39"/>
    </row>
    <row r="4" spans="1:29" ht="6.6" customHeight="1" thickBot="1" x14ac:dyDescent="0.3">
      <c r="A4" s="39"/>
      <c r="B4" s="39"/>
    </row>
    <row r="5" spans="1:29" ht="68.400000000000006" customHeight="1" x14ac:dyDescent="0.3">
      <c r="A5" s="41"/>
      <c r="B5" s="482" t="s">
        <v>64</v>
      </c>
      <c r="C5" s="486" t="s">
        <v>65</v>
      </c>
      <c r="D5" s="471" t="s">
        <v>66</v>
      </c>
      <c r="E5" s="486" t="s">
        <v>67</v>
      </c>
      <c r="F5" s="469" t="s">
        <v>68</v>
      </c>
      <c r="G5" s="42" t="s">
        <v>69</v>
      </c>
      <c r="H5" s="471" t="s">
        <v>70</v>
      </c>
      <c r="I5" s="473" t="s">
        <v>71</v>
      </c>
      <c r="J5" s="484" t="s">
        <v>72</v>
      </c>
      <c r="K5" s="477" t="s">
        <v>73</v>
      </c>
      <c r="L5" s="477"/>
      <c r="M5" s="477"/>
      <c r="N5" s="478"/>
      <c r="O5" s="79" t="s">
        <v>74</v>
      </c>
      <c r="P5" s="79" t="s">
        <v>75</v>
      </c>
      <c r="Q5" s="42" t="s">
        <v>76</v>
      </c>
      <c r="R5" s="42" t="s">
        <v>77</v>
      </c>
      <c r="S5" s="118" t="s">
        <v>78</v>
      </c>
      <c r="T5" s="418" t="s">
        <v>79</v>
      </c>
      <c r="U5" s="419" t="s">
        <v>80</v>
      </c>
      <c r="V5" s="419" t="s">
        <v>81</v>
      </c>
      <c r="W5" s="419" t="s">
        <v>36</v>
      </c>
      <c r="X5" s="420" t="s">
        <v>82</v>
      </c>
      <c r="Y5" s="476" t="s">
        <v>83</v>
      </c>
      <c r="Z5" s="477"/>
      <c r="AA5" s="478"/>
      <c r="AB5" s="488" t="s">
        <v>84</v>
      </c>
      <c r="AC5" s="478" t="s">
        <v>85</v>
      </c>
    </row>
    <row r="6" spans="1:29" ht="16.2" thickBot="1" x14ac:dyDescent="0.35">
      <c r="A6" s="41"/>
      <c r="B6" s="483"/>
      <c r="C6" s="487"/>
      <c r="D6" s="472"/>
      <c r="E6" s="487"/>
      <c r="F6" s="470"/>
      <c r="G6" s="75">
        <f>ROUND(G36+G57+G78+G99+G141,1)</f>
        <v>0</v>
      </c>
      <c r="H6" s="472"/>
      <c r="I6" s="474"/>
      <c r="J6" s="485"/>
      <c r="K6" s="480"/>
      <c r="L6" s="480"/>
      <c r="M6" s="480"/>
      <c r="N6" s="481"/>
      <c r="O6" s="91"/>
      <c r="P6" s="43">
        <f>P36+P57+P78+P99+P141</f>
        <v>404</v>
      </c>
      <c r="Q6" s="80">
        <f t="shared" ref="Q6:X6" si="0">Q36+Q57+Q78+Q99+Q141</f>
        <v>0</v>
      </c>
      <c r="R6" s="80">
        <f t="shared" si="0"/>
        <v>404</v>
      </c>
      <c r="S6" s="119">
        <f t="shared" si="0"/>
        <v>440</v>
      </c>
      <c r="T6" s="421">
        <f>T36+T57+T78+T99+T141</f>
        <v>0</v>
      </c>
      <c r="U6" s="80">
        <f t="shared" si="0"/>
        <v>0</v>
      </c>
      <c r="V6" s="80">
        <f t="shared" si="0"/>
        <v>0</v>
      </c>
      <c r="W6" s="80">
        <f t="shared" si="0"/>
        <v>0</v>
      </c>
      <c r="X6" s="80">
        <f t="shared" si="0"/>
        <v>0</v>
      </c>
      <c r="Y6" s="479"/>
      <c r="Z6" s="480"/>
      <c r="AA6" s="481"/>
      <c r="AB6" s="489"/>
      <c r="AC6" s="481"/>
    </row>
    <row r="7" spans="1:29" ht="15.6" customHeight="1" thickBot="1" x14ac:dyDescent="0.3">
      <c r="A7" s="488" t="s">
        <v>86</v>
      </c>
      <c r="B7" s="94"/>
      <c r="C7" s="444" t="s">
        <v>87</v>
      </c>
      <c r="D7" s="86" t="s">
        <v>88</v>
      </c>
      <c r="E7" s="62"/>
      <c r="F7" s="63" t="s">
        <v>89</v>
      </c>
      <c r="G7" s="76">
        <v>16</v>
      </c>
      <c r="H7" s="71">
        <v>15</v>
      </c>
      <c r="I7" s="99">
        <v>30</v>
      </c>
      <c r="J7" s="88" t="s">
        <v>90</v>
      </c>
      <c r="K7" s="463"/>
      <c r="L7" s="463"/>
      <c r="M7" s="463"/>
      <c r="N7" s="475"/>
      <c r="O7" s="427">
        <f>IF(OR(I7="",F7=Paramétrage!$C$9,F7=Paramétrage!$C$12,F7=Paramétrage!$C$15,F7=Paramétrage!$C$18,F7=[1]Paramétrage!$C$23,F7=Paramétrage!$C$25,J7="Mut+ext"),"",ROUNDUP(H7/I7,0))</f>
        <v>1</v>
      </c>
      <c r="P7" s="100">
        <f>IF(F7="",0,IF(OR(J7="Mut+ext",VLOOKUP(F7,Paramétrage!$C$6:$E$27,2,0)=0),0,IF(I7="","saisir capacité",G7*O7*VLOOKUP(F7,Paramétrage!$C$6:$E$27,2,0))))</f>
        <v>16</v>
      </c>
      <c r="Q7" s="101"/>
      <c r="R7" s="102">
        <f t="shared" ref="R7:R35" si="1">IF(ISERROR(P7+Q7)=TRUE,P7,P7+Q7)</f>
        <v>16</v>
      </c>
      <c r="S7" s="103">
        <f>IF(F7="",0,IF(ISERROR(Q7+P7*VLOOKUP(F7,Paramétrage!$C$6:$E$27,3,0))=TRUE,R7,Q7+P7*VLOOKUP(F7,Paramétrage!$C$6:$E$27,3,0)))</f>
        <v>16</v>
      </c>
      <c r="T7" s="71"/>
      <c r="U7" s="71"/>
      <c r="V7" s="71">
        <v>16</v>
      </c>
      <c r="W7" s="71"/>
      <c r="X7" s="430">
        <f>SUM(T7:W7)</f>
        <v>16</v>
      </c>
      <c r="Y7" s="462"/>
      <c r="Z7" s="463"/>
      <c r="AA7" s="464"/>
      <c r="AB7" s="104">
        <f>IF(B7="",0,IF(D7="",0,IF(SUMIF(B7:B35,B7,H7:H35)=0,0,IF(D7="Obligatoire",AC7/H7,IF(E7="",AC7/SUMIF(B7:B35,B7,H7:H35),AC7/(SUMIF(B7:B35,B7,H7:H35)/E7))))))</f>
        <v>0</v>
      </c>
      <c r="AC7" s="105">
        <f>G7*H7</f>
        <v>240</v>
      </c>
    </row>
    <row r="8" spans="1:29" ht="31.8" thickBot="1" x14ac:dyDescent="0.3">
      <c r="A8" s="490"/>
      <c r="B8" s="95"/>
      <c r="C8" s="444" t="s">
        <v>91</v>
      </c>
      <c r="D8" s="86" t="s">
        <v>88</v>
      </c>
      <c r="E8" s="65"/>
      <c r="F8" s="66" t="s">
        <v>89</v>
      </c>
      <c r="G8" s="77">
        <v>16</v>
      </c>
      <c r="H8" s="71">
        <v>15</v>
      </c>
      <c r="I8" s="99">
        <v>30</v>
      </c>
      <c r="J8" s="88" t="s">
        <v>90</v>
      </c>
      <c r="K8" s="459"/>
      <c r="L8" s="459"/>
      <c r="M8" s="459"/>
      <c r="N8" s="461"/>
      <c r="O8" s="427">
        <f>IF(OR(I8="",F8=Paramétrage!$C$9,F8=Paramétrage!$C$12,F8=Paramétrage!$C$15,F8=Paramétrage!$C$18,F8=[1]Paramétrage!$C$23,F8=Paramétrage!$C$25,J8="Mut+ext"),"",ROUNDUP(H8/I8,0))</f>
        <v>1</v>
      </c>
      <c r="P8" s="100">
        <f>IF(F8="",0,IF(OR(J8="Mut+ext",VLOOKUP(F8,Paramétrage!$C$6:$E$27,2,0)=0),0,IF(I8="","saisir capacité",G8*O8*VLOOKUP(F8,Paramétrage!$C$6:$E$27,2,0))))</f>
        <v>16</v>
      </c>
      <c r="Q8" s="68"/>
      <c r="R8" s="44">
        <f t="shared" si="1"/>
        <v>16</v>
      </c>
      <c r="S8" s="61">
        <f>IF(F8="",0,IF(ISERROR(Q8+P8*VLOOKUP(F8,Paramétrage!$C$6:$E$27,3,0))=TRUE,R8,Q8+P8*VLOOKUP(F8,Paramétrage!$C$6:$E$27,3,0)))</f>
        <v>16</v>
      </c>
      <c r="T8" s="72">
        <v>16</v>
      </c>
      <c r="U8" s="72"/>
      <c r="V8" s="72"/>
      <c r="W8" s="72"/>
      <c r="X8" s="430">
        <f t="shared" ref="X8:X32" si="2">SUM(T8:W8)</f>
        <v>16</v>
      </c>
      <c r="Y8" s="458"/>
      <c r="Z8" s="459"/>
      <c r="AA8" s="460"/>
      <c r="AB8" s="60">
        <f>IF(B8="",0,IF(D8="",0,IF(SUMIF(B7:B35,B8,H7:H35)=0,0,IF(D8="Obligatoire",AC8/H8,IF(E8="",AC8/SUMIF(B7:B35,B8,H7:H35),AC8/(SUMIF(B7:B35,B8,H7:H35)/E8))))))</f>
        <v>0</v>
      </c>
      <c r="AC8" s="45">
        <f>G8*H8</f>
        <v>240</v>
      </c>
    </row>
    <row r="9" spans="1:29" ht="16.2" thickBot="1" x14ac:dyDescent="0.3">
      <c r="A9" s="490"/>
      <c r="B9" s="95"/>
      <c r="C9" s="445" t="s">
        <v>92</v>
      </c>
      <c r="D9" s="86" t="s">
        <v>88</v>
      </c>
      <c r="E9" s="65"/>
      <c r="F9" s="66" t="s">
        <v>93</v>
      </c>
      <c r="G9" s="77">
        <v>16</v>
      </c>
      <c r="H9" s="71">
        <v>15</v>
      </c>
      <c r="I9" s="99">
        <v>30</v>
      </c>
      <c r="J9" s="69" t="s">
        <v>94</v>
      </c>
      <c r="K9" s="459"/>
      <c r="L9" s="459"/>
      <c r="M9" s="459"/>
      <c r="N9" s="461"/>
      <c r="O9" s="427">
        <f>IF(OR(I9="",F9=Paramétrage!$C$9,F9=Paramétrage!$C$12,F9=Paramétrage!$C$15,F9=Paramétrage!$C$18,F9=[1]Paramétrage!$C$23,F9=Paramétrage!$C$25,J9="Mut+ext"),"",ROUNDUP(H9/I9,0))</f>
        <v>1</v>
      </c>
      <c r="P9" s="100">
        <f>IF(F9="",0,IF(OR(J9="Mut+ext",VLOOKUP(F9,Paramétrage!$C$6:$E$27,2,0)=0),0,IF(I9="","saisir capacité",G9*O9*VLOOKUP(F9,Paramétrage!$C$6:$E$27,2,0))))</f>
        <v>16</v>
      </c>
      <c r="Q9" s="68"/>
      <c r="R9" s="44">
        <f t="shared" si="1"/>
        <v>16</v>
      </c>
      <c r="S9" s="61">
        <f>IF(F9="",0,IF(ISERROR(Q9+P9*VLOOKUP(F9,Paramétrage!$C$6:$E$27,3,0))=TRUE,R9,Q9+P9*VLOOKUP(F9,Paramétrage!$C$6:$E$27,3,0)))</f>
        <v>24</v>
      </c>
      <c r="T9" s="72">
        <v>24</v>
      </c>
      <c r="U9" s="72"/>
      <c r="V9" s="72"/>
      <c r="W9" s="72"/>
      <c r="X9" s="430">
        <f t="shared" si="2"/>
        <v>24</v>
      </c>
      <c r="Y9" s="458"/>
      <c r="Z9" s="459"/>
      <c r="AA9" s="460"/>
      <c r="AB9" s="60">
        <f>IF(B9="",0,IF(D9="",0,IF(SUMIF(B7:B35,B9,H7:H35)=0,0,IF(D9="Obligatoire",AC9/H9,IF(E9="",AC9/SUMIF(B7:B35,B9,H7:H35),AC9/(SUMIF(B7:B35,B9,H7:H35)/E9))))))</f>
        <v>0</v>
      </c>
      <c r="AC9" s="45">
        <f>G9*H9</f>
        <v>240</v>
      </c>
    </row>
    <row r="10" spans="1:29" ht="31.8" thickBot="1" x14ac:dyDescent="0.3">
      <c r="A10" s="490"/>
      <c r="B10" s="96"/>
      <c r="C10" s="444" t="s">
        <v>95</v>
      </c>
      <c r="D10" s="86" t="s">
        <v>88</v>
      </c>
      <c r="E10" s="65"/>
      <c r="F10" s="66" t="s">
        <v>89</v>
      </c>
      <c r="G10" s="77">
        <v>16</v>
      </c>
      <c r="H10" s="71">
        <v>15</v>
      </c>
      <c r="I10" s="99">
        <v>30</v>
      </c>
      <c r="J10" s="69" t="s">
        <v>90</v>
      </c>
      <c r="K10" s="459"/>
      <c r="L10" s="459"/>
      <c r="M10" s="459"/>
      <c r="N10" s="461"/>
      <c r="O10" s="427">
        <f>IF(OR(I10="",F10=Paramétrage!$C$9,F10=Paramétrage!$C$12,F10=Paramétrage!$C$15,F10=Paramétrage!$C$18,F10=[1]Paramétrage!$C$23,F10=Paramétrage!$C$25,J10="Mut+ext"),"",ROUNDUP(H10/I10,0))</f>
        <v>1</v>
      </c>
      <c r="P10" s="100">
        <f>IF(F10="",0,IF(OR(J10="Mut+ext",VLOOKUP(F10,Paramétrage!$C$6:$E$27,2,0)=0),0,IF(I10="","saisir capacité",G10*O10*VLOOKUP(F10,Paramétrage!$C$6:$E$27,2,0))))</f>
        <v>16</v>
      </c>
      <c r="Q10" s="68"/>
      <c r="R10" s="44">
        <f t="shared" si="1"/>
        <v>16</v>
      </c>
      <c r="S10" s="61">
        <f>IF(F10="",0,IF(ISERROR(Q10+P10*VLOOKUP(F10,Paramétrage!$C$6:$E$27,3,0))=TRUE,R10,Q10+P10*VLOOKUP(F10,Paramétrage!$C$6:$E$27,3,0)))</f>
        <v>16</v>
      </c>
      <c r="T10" s="72">
        <v>16</v>
      </c>
      <c r="U10" s="72"/>
      <c r="V10" s="72"/>
      <c r="W10" s="72"/>
      <c r="X10" s="430">
        <f t="shared" si="2"/>
        <v>16</v>
      </c>
      <c r="Y10" s="458"/>
      <c r="Z10" s="459"/>
      <c r="AA10" s="460"/>
      <c r="AB10" s="60">
        <f>IF(B10="",0,IF(D10="",0,IF(SUMIF(B7:B35,B10,H7:H35)=0,0,IF(D10="Obligatoire",AC10/H10,IF(E10="",AC10/SUMIF(B7:B35,B10,H7:H35),AC10/(SUMIF(B7:B35,B10,H7:H35)/E10))))))</f>
        <v>0</v>
      </c>
      <c r="AC10" s="45">
        <f>G10*H10</f>
        <v>240</v>
      </c>
    </row>
    <row r="11" spans="1:29" ht="31.8" thickBot="1" x14ac:dyDescent="0.3">
      <c r="A11" s="490"/>
      <c r="B11" s="96"/>
      <c r="C11" s="444" t="s">
        <v>96</v>
      </c>
      <c r="D11" s="86" t="s">
        <v>88</v>
      </c>
      <c r="E11" s="65"/>
      <c r="F11" s="66" t="s">
        <v>89</v>
      </c>
      <c r="G11" s="77">
        <v>16</v>
      </c>
      <c r="H11" s="71">
        <v>15</v>
      </c>
      <c r="I11" s="99">
        <v>30</v>
      </c>
      <c r="J11" s="69" t="s">
        <v>90</v>
      </c>
      <c r="K11" s="459"/>
      <c r="L11" s="459"/>
      <c r="M11" s="459"/>
      <c r="N11" s="461"/>
      <c r="O11" s="427">
        <f>IF(OR(I11="",F11=Paramétrage!$C$9,F11=Paramétrage!$C$12,F11=Paramétrage!$C$15,F11=Paramétrage!$C$18,F11=[1]Paramétrage!$C$23,F11=Paramétrage!$C$25,J11="Mut+ext"),"",ROUNDUP(H11/I11,0))</f>
        <v>1</v>
      </c>
      <c r="P11" s="100">
        <f>IF(F11="",0,IF(OR(J11="Mut+ext",VLOOKUP(F11,Paramétrage!$C$6:$E$27,2,0)=0),0,IF(I11="","saisir capacité",G11*O11*VLOOKUP(F11,Paramétrage!$C$6:$E$27,2,0))))</f>
        <v>16</v>
      </c>
      <c r="Q11" s="68"/>
      <c r="R11" s="44">
        <f t="shared" ref="R11:R22" si="3">IF(ISERROR(P11+Q11)=TRUE,P11,P11+Q11)</f>
        <v>16</v>
      </c>
      <c r="S11" s="61">
        <f>IF(F11="",0,IF(ISERROR(Q11+P11*VLOOKUP(F11,Paramétrage!$C$6:$E$27,3,0))=TRUE,R11,Q11+P11*VLOOKUP(F11,Paramétrage!$C$6:$E$27,3,0)))</f>
        <v>16</v>
      </c>
      <c r="T11" s="72">
        <v>16</v>
      </c>
      <c r="U11" s="72"/>
      <c r="V11" s="72"/>
      <c r="W11" s="72"/>
      <c r="X11" s="430">
        <f t="shared" si="2"/>
        <v>16</v>
      </c>
      <c r="Y11" s="458"/>
      <c r="Z11" s="459"/>
      <c r="AA11" s="460"/>
      <c r="AB11" s="60">
        <f>IF(B11="",0,IF(D11="",0,IF(SUMIF(B8:B36,B11,H8:H36)=0,0,IF(D11="Obligatoire",AC11/H11,IF(E11="",AC11/SUMIF(B8:B36,B11,H8:H36),AC11/(SUMIF(B8:B36,B11,H8:H36)/E11))))))</f>
        <v>0</v>
      </c>
      <c r="AC11" s="45">
        <f t="shared" ref="AC11:AC22" si="4">G11*H11</f>
        <v>240</v>
      </c>
    </row>
    <row r="12" spans="1:29" ht="16.2" thickBot="1" x14ac:dyDescent="0.3">
      <c r="A12" s="490"/>
      <c r="B12" s="96"/>
      <c r="C12" s="444" t="s">
        <v>97</v>
      </c>
      <c r="D12" s="86" t="s">
        <v>88</v>
      </c>
      <c r="E12" s="65"/>
      <c r="F12" s="66" t="s">
        <v>93</v>
      </c>
      <c r="G12" s="77">
        <v>16</v>
      </c>
      <c r="H12" s="71">
        <v>15</v>
      </c>
      <c r="I12" s="99">
        <v>30</v>
      </c>
      <c r="J12" s="69" t="s">
        <v>94</v>
      </c>
      <c r="K12" s="459"/>
      <c r="L12" s="459"/>
      <c r="M12" s="459"/>
      <c r="N12" s="461"/>
      <c r="O12" s="427">
        <f>IF(OR(I12="",F12=Paramétrage!$C$9,F12=Paramétrage!$C$12,F12=Paramétrage!$C$15,F12=Paramétrage!$C$18,F12=[1]Paramétrage!$C$23,F12=Paramétrage!$C$25,J12="Mut+ext"),"",ROUNDUP(H12/I12,0))</f>
        <v>1</v>
      </c>
      <c r="P12" s="100">
        <f>IF(F12="",0,IF(OR(J12="Mut+ext",VLOOKUP(F12,Paramétrage!$C$6:$E$27,2,0)=0),0,IF(I12="","saisir capacité",G12*O12*VLOOKUP(F12,Paramétrage!$C$6:$E$27,2,0))))</f>
        <v>16</v>
      </c>
      <c r="Q12" s="68"/>
      <c r="R12" s="44">
        <f t="shared" si="3"/>
        <v>16</v>
      </c>
      <c r="S12" s="61">
        <f>IF(F12="",0,IF(ISERROR(Q12+P12*VLOOKUP(F12,Paramétrage!$C$6:$E$27,3,0))=TRUE,R12,Q12+P12*VLOOKUP(F12,Paramétrage!$C$6:$E$27,3,0)))</f>
        <v>24</v>
      </c>
      <c r="T12" s="72">
        <v>24</v>
      </c>
      <c r="U12" s="72"/>
      <c r="V12" s="72"/>
      <c r="W12" s="72"/>
      <c r="X12" s="430">
        <f t="shared" si="2"/>
        <v>24</v>
      </c>
      <c r="Y12" s="458"/>
      <c r="Z12" s="459"/>
      <c r="AA12" s="460"/>
      <c r="AB12" s="60">
        <f>IF(B12="",0,IF(D12="",0,IF(SUMIF(B9:B37,B12,H9:H37)=0,0,IF(D12="Obligatoire",AC12/H12,IF(E12="",AC12/SUMIF(B9:B37,B12,H9:H37),AC12/(SUMIF(B9:B37,B12,H9:H37)/E12))))))</f>
        <v>0</v>
      </c>
      <c r="AC12" s="45">
        <f t="shared" si="4"/>
        <v>240</v>
      </c>
    </row>
    <row r="13" spans="1:29" ht="31.8" thickBot="1" x14ac:dyDescent="0.3">
      <c r="A13" s="490"/>
      <c r="B13" s="96"/>
      <c r="C13" s="444" t="s">
        <v>98</v>
      </c>
      <c r="D13" s="86" t="s">
        <v>88</v>
      </c>
      <c r="E13" s="65"/>
      <c r="F13" s="66" t="s">
        <v>89</v>
      </c>
      <c r="G13" s="77">
        <v>16</v>
      </c>
      <c r="H13" s="71">
        <v>15</v>
      </c>
      <c r="I13" s="99">
        <v>30</v>
      </c>
      <c r="J13" s="69" t="s">
        <v>90</v>
      </c>
      <c r="K13" s="459"/>
      <c r="L13" s="459"/>
      <c r="M13" s="459"/>
      <c r="N13" s="461"/>
      <c r="O13" s="427">
        <f>IF(OR(I13="",F13=Paramétrage!$C$9,F13=Paramétrage!$C$12,F13=Paramétrage!$C$15,F13=Paramétrage!$C$18,F13=[1]Paramétrage!$C$23,F13=Paramétrage!$C$25,J13="Mut+ext"),"",ROUNDUP(H13/I13,0))</f>
        <v>1</v>
      </c>
      <c r="P13" s="100">
        <f>IF(F13="",0,IF(OR(J13="Mut+ext",VLOOKUP(F13,Paramétrage!$C$6:$E$27,2,0)=0),0,IF(I13="","saisir capacité",G13*O13*VLOOKUP(F13,Paramétrage!$C$6:$E$27,2,0))))</f>
        <v>16</v>
      </c>
      <c r="Q13" s="68"/>
      <c r="R13" s="44">
        <f t="shared" ref="R13:R15" si="5">IF(ISERROR(P13+Q13)=TRUE,P13,P13+Q13)</f>
        <v>16</v>
      </c>
      <c r="S13" s="61">
        <f>IF(F13="",0,IF(ISERROR(Q13+P13*VLOOKUP(F13,Paramétrage!$C$6:$E$27,3,0))=TRUE,R13,Q13+P13*VLOOKUP(F13,Paramétrage!$C$6:$E$27,3,0)))</f>
        <v>16</v>
      </c>
      <c r="T13" s="72">
        <v>16</v>
      </c>
      <c r="U13" s="72"/>
      <c r="V13" s="72"/>
      <c r="W13" s="72"/>
      <c r="X13" s="430">
        <f t="shared" si="2"/>
        <v>16</v>
      </c>
      <c r="Y13" s="458"/>
      <c r="Z13" s="459"/>
      <c r="AA13" s="460"/>
      <c r="AB13" s="60">
        <f>IF(B13="",0,IF(D13="",0,IF(SUMIF(B10:B38,B13,H10:H38)=0,0,IF(D13="Obligatoire",AC13/H13,IF(E13="",AC13/SUMIF(B10:B38,B13,H10:H38),AC13/(SUMIF(B10:B38,B13,H10:H38)/E13))))))</f>
        <v>0</v>
      </c>
      <c r="AC13" s="45">
        <f t="shared" ref="AC13:AC15" si="6">G13*H13</f>
        <v>240</v>
      </c>
    </row>
    <row r="14" spans="1:29" ht="16.2" thickBot="1" x14ac:dyDescent="0.3">
      <c r="A14" s="490"/>
      <c r="B14" s="96"/>
      <c r="C14" s="444" t="s">
        <v>99</v>
      </c>
      <c r="D14" s="86" t="s">
        <v>88</v>
      </c>
      <c r="E14" s="65"/>
      <c r="F14" s="66" t="s">
        <v>93</v>
      </c>
      <c r="G14" s="77">
        <v>16</v>
      </c>
      <c r="H14" s="71">
        <v>15</v>
      </c>
      <c r="I14" s="99">
        <v>300</v>
      </c>
      <c r="J14" s="69" t="s">
        <v>94</v>
      </c>
      <c r="K14" s="459"/>
      <c r="L14" s="459"/>
      <c r="M14" s="459"/>
      <c r="N14" s="461"/>
      <c r="O14" s="427">
        <f>IF(OR(I14="",F14=Paramétrage!$C$9,F14=Paramétrage!$C$12,F14=Paramétrage!$C$15,F14=Paramétrage!$C$18,F14=[1]Paramétrage!$C$23,F14=Paramétrage!$C$25,J14="Mut+ext"),"",ROUNDUP(H14/I14,0))</f>
        <v>1</v>
      </c>
      <c r="P14" s="100">
        <f>IF(F14="",0,IF(OR(J14="Mut+ext",VLOOKUP(F14,Paramétrage!$C$6:$E$27,2,0)=0),0,IF(I14="","saisir capacité",G14*O14*VLOOKUP(F14,Paramétrage!$C$6:$E$27,2,0))))</f>
        <v>16</v>
      </c>
      <c r="Q14" s="68"/>
      <c r="R14" s="44">
        <f t="shared" si="5"/>
        <v>16</v>
      </c>
      <c r="S14" s="61">
        <f>IF(F14="",0,IF(ISERROR(Q14+P14*VLOOKUP(F14,Paramétrage!$C$6:$E$27,3,0))=TRUE,R14,Q14+P14*VLOOKUP(F14,Paramétrage!$C$6:$E$27,3,0)))</f>
        <v>24</v>
      </c>
      <c r="T14" s="72">
        <v>24</v>
      </c>
      <c r="U14" s="72"/>
      <c r="V14" s="72"/>
      <c r="W14" s="72"/>
      <c r="X14" s="430">
        <f t="shared" si="2"/>
        <v>24</v>
      </c>
      <c r="Y14" s="458"/>
      <c r="Z14" s="459"/>
      <c r="AA14" s="460"/>
      <c r="AB14" s="60">
        <f>IF(B14="",0,IF(D14="",0,IF(SUMIF(B11:B39,B14,H11:H39)=0,0,IF(D14="Obligatoire",AC14/H14,IF(E14="",AC14/SUMIF(B11:B39,B14,H11:H39),AC14/(SUMIF(B11:B39,B14,H11:H39)/E14))))))</f>
        <v>0</v>
      </c>
      <c r="AC14" s="45">
        <f t="shared" si="6"/>
        <v>240</v>
      </c>
    </row>
    <row r="15" spans="1:29" ht="47.4" thickBot="1" x14ac:dyDescent="0.3">
      <c r="A15" s="490"/>
      <c r="B15" s="96"/>
      <c r="C15" s="444" t="s">
        <v>100</v>
      </c>
      <c r="D15" s="86" t="s">
        <v>88</v>
      </c>
      <c r="E15" s="65"/>
      <c r="F15" s="66" t="s">
        <v>89</v>
      </c>
      <c r="G15" s="77">
        <v>20</v>
      </c>
      <c r="H15" s="71">
        <v>15</v>
      </c>
      <c r="I15" s="99">
        <v>30</v>
      </c>
      <c r="J15" s="69" t="s">
        <v>90</v>
      </c>
      <c r="K15" s="459"/>
      <c r="L15" s="459"/>
      <c r="M15" s="459"/>
      <c r="N15" s="461"/>
      <c r="O15" s="427">
        <f>IF(OR(I15="",F15=Paramétrage!$C$9,F15=Paramétrage!$C$12,F15=Paramétrage!$C$15,F15=Paramétrage!$C$18,F15=[1]Paramétrage!$C$23,F15=Paramétrage!$C$25,J15="Mut+ext"),"",ROUNDUP(H15/I15,0))</f>
        <v>1</v>
      </c>
      <c r="P15" s="100">
        <f>IF(F15="",0,IF(OR(J15="Mut+ext",VLOOKUP(F15,Paramétrage!$C$6:$E$27,2,0)=0),0,IF(I15="","saisir capacité",G15*O15*VLOOKUP(F15,Paramétrage!$C$6:$E$27,2,0))))</f>
        <v>20</v>
      </c>
      <c r="Q15" s="68"/>
      <c r="R15" s="44">
        <f t="shared" si="5"/>
        <v>20</v>
      </c>
      <c r="S15" s="61">
        <f>IF(F15="",0,IF(ISERROR(Q15+P15*VLOOKUP(F15,Paramétrage!$C$6:$E$27,3,0))=TRUE,R15,Q15+P15*VLOOKUP(F15,Paramétrage!$C$6:$E$27,3,0)))</f>
        <v>20</v>
      </c>
      <c r="T15" s="72"/>
      <c r="U15" s="72"/>
      <c r="V15" s="72">
        <v>20</v>
      </c>
      <c r="W15" s="72"/>
      <c r="X15" s="430">
        <f t="shared" si="2"/>
        <v>20</v>
      </c>
      <c r="Y15" s="458"/>
      <c r="Z15" s="459"/>
      <c r="AA15" s="460"/>
      <c r="AB15" s="60">
        <f>IF(B15="",0,IF(D15="",0,IF(SUMIF(B12:B47,B15,H12:H47)=0,0,IF(D15="Obligatoire",AC15/H15,IF(E15="",AC15/SUMIF(B12:B47,B15,H12:H47),AC15/(SUMIF(B12:B47,B15,H12:H47)/E15))))))</f>
        <v>0</v>
      </c>
      <c r="AC15" s="45">
        <f t="shared" si="6"/>
        <v>300</v>
      </c>
    </row>
    <row r="16" spans="1:29" ht="16.2" thickBot="1" x14ac:dyDescent="0.3">
      <c r="A16" s="490"/>
      <c r="B16" s="96"/>
      <c r="C16" s="444" t="s">
        <v>101</v>
      </c>
      <c r="D16" s="86" t="s">
        <v>88</v>
      </c>
      <c r="E16" s="65"/>
      <c r="F16" s="66" t="s">
        <v>89</v>
      </c>
      <c r="G16" s="77">
        <v>16</v>
      </c>
      <c r="H16" s="71">
        <v>15</v>
      </c>
      <c r="I16" s="99">
        <v>30</v>
      </c>
      <c r="J16" s="69" t="s">
        <v>90</v>
      </c>
      <c r="K16" s="459"/>
      <c r="L16" s="459"/>
      <c r="M16" s="459"/>
      <c r="N16" s="461"/>
      <c r="O16" s="427">
        <f>IF(OR(I16="",F16=Paramétrage!$C$9,F16=Paramétrage!$C$12,F16=Paramétrage!$C$15,F16=Paramétrage!$C$18,F16=[1]Paramétrage!$C$23,F16=Paramétrage!$C$25,J16="Mut+ext"),"",ROUNDUP(H16/I16,0))</f>
        <v>1</v>
      </c>
      <c r="P16" s="100">
        <f>IF(F16="",0,IF(OR(J16="Mut+ext",VLOOKUP(F16,Paramétrage!$C$6:$E$27,2,0)=0),0,IF(I16="","saisir capacité",G16*O16*VLOOKUP(F16,Paramétrage!$C$6:$E$27,2,0))))</f>
        <v>16</v>
      </c>
      <c r="Q16" s="68"/>
      <c r="R16" s="44">
        <f t="shared" si="3"/>
        <v>16</v>
      </c>
      <c r="S16" s="61">
        <f>IF(F16="",0,IF(ISERROR(Q16+P16*VLOOKUP(F16,Paramétrage!$C$6:$E$27,3,0))=TRUE,R16,Q16+P16*VLOOKUP(F16,Paramétrage!$C$6:$E$27,3,0)))</f>
        <v>16</v>
      </c>
      <c r="T16" s="72"/>
      <c r="U16" s="72"/>
      <c r="V16" s="72">
        <v>16</v>
      </c>
      <c r="W16" s="72"/>
      <c r="X16" s="430">
        <f t="shared" si="2"/>
        <v>16</v>
      </c>
      <c r="Y16" s="458"/>
      <c r="Z16" s="459"/>
      <c r="AA16" s="460"/>
      <c r="AB16" s="60">
        <f>IF(B16="",0,IF(D16="",0,IF(SUMIF(B10:B38,B16,H10:H38)=0,0,IF(D16="Obligatoire",AC16/H16,IF(E16="",AC16/SUMIF(B10:B38,B16,H10:H38),AC16/(SUMIF(B10:B38,B16,H10:H38)/E16))))))</f>
        <v>0</v>
      </c>
      <c r="AC16" s="45">
        <f t="shared" si="4"/>
        <v>240</v>
      </c>
    </row>
    <row r="17" spans="1:29" ht="16.2" thickBot="1" x14ac:dyDescent="0.3">
      <c r="A17" s="490"/>
      <c r="B17" s="96"/>
      <c r="C17" s="444" t="s">
        <v>102</v>
      </c>
      <c r="D17" s="86" t="s">
        <v>88</v>
      </c>
      <c r="E17" s="65"/>
      <c r="F17" s="66" t="s">
        <v>89</v>
      </c>
      <c r="G17" s="77">
        <v>20</v>
      </c>
      <c r="H17" s="71">
        <v>15</v>
      </c>
      <c r="I17" s="99">
        <v>30</v>
      </c>
      <c r="J17" s="69" t="s">
        <v>90</v>
      </c>
      <c r="K17" s="459"/>
      <c r="L17" s="459"/>
      <c r="M17" s="459"/>
      <c r="N17" s="461"/>
      <c r="O17" s="427">
        <f>IF(OR(I17="",F17=Paramétrage!$C$9,F17=Paramétrage!$C$12,F17=Paramétrage!$C$15,F17=Paramétrage!$C$18,F17=[1]Paramétrage!$C$23,F17=Paramétrage!$C$25,J17="Mut+ext"),"",ROUNDUP(H17/I17,0))</f>
        <v>1</v>
      </c>
      <c r="P17" s="100">
        <f>IF(F17="",0,IF(OR(J17="Mut+ext",VLOOKUP(F17,Paramétrage!$C$6:$E$27,2,0)=0),0,IF(I17="","saisir capacité",G17*O17*VLOOKUP(F17,Paramétrage!$C$6:$E$27,2,0))))</f>
        <v>20</v>
      </c>
      <c r="Q17" s="68"/>
      <c r="R17" s="44">
        <f t="shared" si="3"/>
        <v>20</v>
      </c>
      <c r="S17" s="61">
        <f>IF(F17="",0,IF(ISERROR(Q17+P17*VLOOKUP(F17,Paramétrage!$C$6:$E$27,3,0))=TRUE,R17,Q17+P17*VLOOKUP(F17,Paramétrage!$C$6:$E$27,3,0)))</f>
        <v>20</v>
      </c>
      <c r="T17" s="72">
        <v>20</v>
      </c>
      <c r="U17" s="72"/>
      <c r="V17" s="72"/>
      <c r="W17" s="72"/>
      <c r="X17" s="430">
        <f t="shared" si="2"/>
        <v>20</v>
      </c>
      <c r="Y17" s="458"/>
      <c r="Z17" s="459"/>
      <c r="AA17" s="460"/>
      <c r="AB17" s="60">
        <f>IF(B17="",0,IF(D17="",0,IF(SUMIF(B11:B51,B17,H11:H51)=0,0,IF(D17="Obligatoire",AC17/H17,IF(E17="",AC17/SUMIF(B11:B51,B17,H11:H51),AC17/(SUMIF(B11:B51,B17,H11:H51)/E17))))))</f>
        <v>0</v>
      </c>
      <c r="AC17" s="45">
        <f t="shared" si="4"/>
        <v>300</v>
      </c>
    </row>
    <row r="18" spans="1:29" ht="31.8" thickBot="1" x14ac:dyDescent="0.3">
      <c r="A18" s="490"/>
      <c r="B18" s="96"/>
      <c r="C18" s="444" t="s">
        <v>103</v>
      </c>
      <c r="D18" s="86" t="s">
        <v>88</v>
      </c>
      <c r="E18" s="65"/>
      <c r="F18" s="66" t="s">
        <v>89</v>
      </c>
      <c r="G18" s="77">
        <v>20</v>
      </c>
      <c r="H18" s="71">
        <v>15</v>
      </c>
      <c r="I18" s="99">
        <v>30</v>
      </c>
      <c r="J18" s="69" t="s">
        <v>90</v>
      </c>
      <c r="K18" s="459"/>
      <c r="L18" s="459"/>
      <c r="M18" s="459"/>
      <c r="N18" s="461"/>
      <c r="O18" s="427">
        <f>IF(OR(I18="",F18=Paramétrage!$C$9,F18=Paramétrage!$C$12,F18=Paramétrage!$C$15,F18=Paramétrage!$C$18,F18=[1]Paramétrage!$C$23,F18=Paramétrage!$C$25,J18="Mut+ext"),"",ROUNDUP(H18/I18,0))</f>
        <v>1</v>
      </c>
      <c r="P18" s="100">
        <f>IF(F18="",0,IF(OR(J18="Mut+ext",VLOOKUP(F18,Paramétrage!$C$6:$E$27,2,0)=0),0,IF(I18="","saisir capacité",G18*O18*VLOOKUP(F18,Paramétrage!$C$6:$E$27,2,0))))</f>
        <v>20</v>
      </c>
      <c r="Q18" s="68"/>
      <c r="R18" s="44">
        <f t="shared" si="3"/>
        <v>20</v>
      </c>
      <c r="S18" s="61">
        <f>IF(F18="",0,IF(ISERROR(Q18+P18*VLOOKUP(F18,Paramétrage!$C$6:$E$27,3,0))=TRUE,R18,Q18+P18*VLOOKUP(F18,Paramétrage!$C$6:$E$27,3,0)))</f>
        <v>20</v>
      </c>
      <c r="T18" s="72">
        <v>20</v>
      </c>
      <c r="U18" s="72"/>
      <c r="V18" s="72"/>
      <c r="W18" s="72"/>
      <c r="X18" s="430">
        <f t="shared" si="2"/>
        <v>20</v>
      </c>
      <c r="Y18" s="458"/>
      <c r="Z18" s="459"/>
      <c r="AA18" s="460"/>
      <c r="AB18" s="60">
        <f>IF(B18="",0,IF(D18="",0,IF(SUMIF(B12:B52,B18,H12:H52)=0,0,IF(D18="Obligatoire",AC18/H18,IF(E18="",AC18/SUMIF(B12:B52,B18,H12:H52),AC18/(SUMIF(B12:B52,B18,H12:H52)/E18))))))</f>
        <v>0</v>
      </c>
      <c r="AC18" s="45">
        <f t="shared" si="4"/>
        <v>300</v>
      </c>
    </row>
    <row r="19" spans="1:29" ht="16.2" thickBot="1" x14ac:dyDescent="0.3">
      <c r="A19" s="490"/>
      <c r="B19" s="96"/>
      <c r="C19" s="444" t="s">
        <v>104</v>
      </c>
      <c r="D19" s="86" t="s">
        <v>88</v>
      </c>
      <c r="E19" s="65"/>
      <c r="F19" s="66" t="s">
        <v>89</v>
      </c>
      <c r="G19" s="77">
        <v>20</v>
      </c>
      <c r="H19" s="71">
        <v>15</v>
      </c>
      <c r="I19" s="99">
        <v>30</v>
      </c>
      <c r="J19" s="69" t="s">
        <v>90</v>
      </c>
      <c r="K19" s="459"/>
      <c r="L19" s="459"/>
      <c r="M19" s="459"/>
      <c r="N19" s="461"/>
      <c r="O19" s="427">
        <f>IF(OR(I19="",F19=Paramétrage!$C$9,F19=Paramétrage!$C$12,F19=Paramétrage!$C$15,F19=Paramétrage!$C$18,F19=[1]Paramétrage!$C$23,F19=Paramétrage!$C$25,J19="Mut+ext"),"",ROUNDUP(H19/I19,0))</f>
        <v>1</v>
      </c>
      <c r="P19" s="100">
        <f>IF(F19="",0,IF(OR(J19="Mut+ext",VLOOKUP(F19,Paramétrage!$C$6:$E$27,2,0)=0),0,IF(I19="","saisir capacité",G19*O19*VLOOKUP(F19,Paramétrage!$C$6:$E$27,2,0))))</f>
        <v>20</v>
      </c>
      <c r="Q19" s="68"/>
      <c r="R19" s="44">
        <f t="shared" si="3"/>
        <v>20</v>
      </c>
      <c r="S19" s="61">
        <f>IF(F19="",0,IF(ISERROR(Q19+P19*VLOOKUP(F19,Paramétrage!$C$6:$E$27,3,0))=TRUE,R19,Q19+P19*VLOOKUP(F19,Paramétrage!$C$6:$E$27,3,0)))</f>
        <v>20</v>
      </c>
      <c r="T19" s="72">
        <v>20</v>
      </c>
      <c r="U19" s="72"/>
      <c r="V19" s="72"/>
      <c r="W19" s="72"/>
      <c r="X19" s="430">
        <f t="shared" si="2"/>
        <v>20</v>
      </c>
      <c r="Y19" s="458"/>
      <c r="Z19" s="459"/>
      <c r="AA19" s="460"/>
      <c r="AB19" s="60">
        <f>IF(B19="",0,IF(D19="",0,IF(SUMIF(B16:B53,B19,H16:H53)=0,0,IF(D19="Obligatoire",AC19/H19,IF(E19="",AC19/SUMIF(B16:B53,B19,H16:H53),AC19/(SUMIF(B16:B53,B19,H16:H53)/E19))))))</f>
        <v>0</v>
      </c>
      <c r="AC19" s="45">
        <f t="shared" si="4"/>
        <v>300</v>
      </c>
    </row>
    <row r="20" spans="1:29" ht="16.2" thickBot="1" x14ac:dyDescent="0.3">
      <c r="A20" s="490"/>
      <c r="B20" s="96"/>
      <c r="C20" s="444" t="s">
        <v>105</v>
      </c>
      <c r="D20" s="86" t="s">
        <v>88</v>
      </c>
      <c r="E20" s="65"/>
      <c r="F20" s="66" t="s">
        <v>89</v>
      </c>
      <c r="G20" s="77">
        <v>16</v>
      </c>
      <c r="H20" s="71">
        <v>15</v>
      </c>
      <c r="I20" s="99">
        <v>30</v>
      </c>
      <c r="J20" s="69" t="s">
        <v>90</v>
      </c>
      <c r="K20" s="459"/>
      <c r="L20" s="459"/>
      <c r="M20" s="459"/>
      <c r="N20" s="461"/>
      <c r="O20" s="427">
        <f>IF(OR(I20="",F20=Paramétrage!$C$9,F20=Paramétrage!$C$12,F20=Paramétrage!$C$15,F20=Paramétrage!$C$18,F20=[1]Paramétrage!$C$23,F20=Paramétrage!$C$25,J20="Mut+ext"),"",ROUNDUP(H20/I20,0))</f>
        <v>1</v>
      </c>
      <c r="P20" s="100">
        <f>IF(F20="",0,IF(OR(J20="Mut+ext",VLOOKUP(F20,Paramétrage!$C$6:$E$27,2,0)=0),0,IF(I20="","saisir capacité",G20*O20*VLOOKUP(F20,Paramétrage!$C$6:$E$27,2,0))))</f>
        <v>16</v>
      </c>
      <c r="Q20" s="68"/>
      <c r="R20" s="44">
        <f t="shared" si="3"/>
        <v>16</v>
      </c>
      <c r="S20" s="61">
        <f>IF(F20="",0,IF(ISERROR(Q20+P20*VLOOKUP(F20,Paramétrage!$C$6:$E$27,3,0))=TRUE,R20,Q20+P20*VLOOKUP(F20,Paramétrage!$C$6:$E$27,3,0)))</f>
        <v>16</v>
      </c>
      <c r="T20" s="72">
        <v>16</v>
      </c>
      <c r="U20" s="72"/>
      <c r="V20" s="72"/>
      <c r="W20" s="72"/>
      <c r="X20" s="430">
        <f t="shared" si="2"/>
        <v>16</v>
      </c>
      <c r="Y20" s="458"/>
      <c r="Z20" s="459"/>
      <c r="AA20" s="460"/>
      <c r="AB20" s="60">
        <f>IF(B20="",0,IF(D20="",0,IF(SUMIF(B17:B54,B20,H17:H54)=0,0,IF(D20="Obligatoire",AC20/H20,IF(E20="",AC20/SUMIF(B17:B54,B20,H17:H54),AC20/(SUMIF(B17:B54,B20,H17:H54)/E20))))))</f>
        <v>0</v>
      </c>
      <c r="AC20" s="45">
        <f t="shared" si="4"/>
        <v>240</v>
      </c>
    </row>
    <row r="21" spans="1:29" ht="31.8" thickBot="1" x14ac:dyDescent="0.3">
      <c r="A21" s="490"/>
      <c r="B21" s="96"/>
      <c r="C21" s="444" t="s">
        <v>106</v>
      </c>
      <c r="D21" s="86" t="s">
        <v>88</v>
      </c>
      <c r="E21" s="65"/>
      <c r="F21" s="66" t="s">
        <v>89</v>
      </c>
      <c r="G21" s="77">
        <v>20</v>
      </c>
      <c r="H21" s="71">
        <v>15</v>
      </c>
      <c r="I21" s="99">
        <v>30</v>
      </c>
      <c r="J21" s="69" t="s">
        <v>90</v>
      </c>
      <c r="K21" s="459"/>
      <c r="L21" s="459"/>
      <c r="M21" s="459"/>
      <c r="N21" s="461"/>
      <c r="O21" s="427">
        <f>IF(OR(I21="",F21=Paramétrage!$C$9,F21=Paramétrage!$C$12,F21=Paramétrage!$C$15,F21=Paramétrage!$C$18,F21=[1]Paramétrage!$C$23,F21=Paramétrage!$C$25,J21="Mut+ext"),"",ROUNDUP(H21/I21,0))</f>
        <v>1</v>
      </c>
      <c r="P21" s="100">
        <f>IF(F21="",0,IF(OR(J21="Mut+ext",VLOOKUP(F21,Paramétrage!$C$6:$E$27,2,0)=0),0,IF(I21="","saisir capacité",G21*O21*VLOOKUP(F21,Paramétrage!$C$6:$E$27,2,0))))</f>
        <v>20</v>
      </c>
      <c r="Q21" s="68"/>
      <c r="R21" s="44">
        <f t="shared" si="3"/>
        <v>20</v>
      </c>
      <c r="S21" s="61">
        <f>IF(F21="",0,IF(ISERROR(Q21+P21*VLOOKUP(F21,Paramétrage!$C$6:$E$27,3,0))=TRUE,R21,Q21+P21*VLOOKUP(F21,Paramétrage!$C$6:$E$27,3,0)))</f>
        <v>20</v>
      </c>
      <c r="T21" s="72">
        <v>20</v>
      </c>
      <c r="U21" s="72"/>
      <c r="V21" s="72"/>
      <c r="W21" s="72"/>
      <c r="X21" s="430">
        <f t="shared" si="2"/>
        <v>20</v>
      </c>
      <c r="Y21" s="458"/>
      <c r="Z21" s="459"/>
      <c r="AA21" s="460"/>
      <c r="AB21" s="60">
        <f>IF(B21="",0,IF(D21="",0,IF(SUMIF(B18:B55,B21,H18:H55)=0,0,IF(D21="Obligatoire",AC21/H21,IF(E21="",AC21/SUMIF(B18:B55,B21,H18:H55),AC21/(SUMIF(B18:B55,B21,H18:H55)/E21))))))</f>
        <v>0</v>
      </c>
      <c r="AC21" s="45">
        <f t="shared" si="4"/>
        <v>300</v>
      </c>
    </row>
    <row r="22" spans="1:29" ht="16.2" thickBot="1" x14ac:dyDescent="0.3">
      <c r="A22" s="490"/>
      <c r="B22" s="96"/>
      <c r="C22" s="444" t="s">
        <v>107</v>
      </c>
      <c r="D22" s="86" t="s">
        <v>88</v>
      </c>
      <c r="E22" s="65"/>
      <c r="F22" s="66" t="s">
        <v>89</v>
      </c>
      <c r="G22" s="77">
        <v>12</v>
      </c>
      <c r="H22" s="71">
        <v>15</v>
      </c>
      <c r="I22" s="99">
        <v>30</v>
      </c>
      <c r="J22" s="69" t="s">
        <v>90</v>
      </c>
      <c r="K22" s="459"/>
      <c r="L22" s="459"/>
      <c r="M22" s="459"/>
      <c r="N22" s="461"/>
      <c r="O22" s="427">
        <f>IF(OR(I22="",F22=Paramétrage!$C$9,F22=Paramétrage!$C$12,F22=Paramétrage!$C$15,F22=Paramétrage!$C$18,F22=[1]Paramétrage!$C$23,F22=Paramétrage!$C$25,J22="Mut+ext"),"",ROUNDUP(H22/I22,0))</f>
        <v>1</v>
      </c>
      <c r="P22" s="100">
        <f>IF(F22="",0,IF(OR(J22="Mut+ext",VLOOKUP(F22,Paramétrage!$C$6:$E$27,2,0)=0),0,IF(I22="","saisir capacité",G22*O22*VLOOKUP(F22,Paramétrage!$C$6:$E$27,2,0))))</f>
        <v>12</v>
      </c>
      <c r="Q22" s="68"/>
      <c r="R22" s="44">
        <f t="shared" si="3"/>
        <v>12</v>
      </c>
      <c r="S22" s="448">
        <f>IF(F22="",0,IF(ISERROR(Q22+P22*VLOOKUP(F22,Paramétrage!$C$6:$E$27,3,0))=TRUE,R22,Q22+P22*VLOOKUP(F22,Paramétrage!$C$6:$E$27,3,0)))</f>
        <v>12</v>
      </c>
      <c r="T22" s="449"/>
      <c r="U22" s="449"/>
      <c r="V22" s="449">
        <v>12</v>
      </c>
      <c r="W22" s="449"/>
      <c r="X22" s="430">
        <f t="shared" si="2"/>
        <v>12</v>
      </c>
      <c r="Y22" s="458"/>
      <c r="Z22" s="459"/>
      <c r="AA22" s="460"/>
      <c r="AB22" s="60">
        <f>IF(B22="",0,IF(D22="",0,IF(SUMIF(B19:B56,B22,H19:H56)=0,0,IF(D22="Obligatoire",AC22/H22,IF(E22="",AC22/SUMIF(B19:B56,B22,H19:H56),AC22/(SUMIF(B19:B56,B22,H19:H56)/E22))))))</f>
        <v>0</v>
      </c>
      <c r="AC22" s="45">
        <f t="shared" si="4"/>
        <v>180</v>
      </c>
    </row>
    <row r="23" spans="1:29" ht="15.6" customHeight="1" thickBot="1" x14ac:dyDescent="0.3">
      <c r="A23" s="490"/>
      <c r="B23" s="95"/>
      <c r="C23" s="444" t="s">
        <v>108</v>
      </c>
      <c r="D23" s="86" t="s">
        <v>88</v>
      </c>
      <c r="E23" s="65"/>
      <c r="F23" s="66" t="s">
        <v>89</v>
      </c>
      <c r="G23" s="77">
        <v>12</v>
      </c>
      <c r="H23" s="71">
        <v>15</v>
      </c>
      <c r="I23" s="99">
        <v>30</v>
      </c>
      <c r="J23" s="69" t="s">
        <v>90</v>
      </c>
      <c r="K23" s="459"/>
      <c r="L23" s="459"/>
      <c r="M23" s="459"/>
      <c r="N23" s="461"/>
      <c r="O23" s="427">
        <f>IF(OR(I23="",F23=Paramétrage!$C$9,F23=Paramétrage!$C$12,F23=Paramétrage!$C$15,F23=Paramétrage!$C$18,F23=[1]Paramétrage!$C$23,F23=Paramétrage!$C$25,J23="Mut+ext"),"",ROUNDUP(H23/I23,0))</f>
        <v>1</v>
      </c>
      <c r="P23" s="100">
        <f>IF(F23="",0,IF(OR(J23="Mut+ext",VLOOKUP(F23,Paramétrage!$C$6:$E$27,2,0)=0),0,IF(I23="","saisir capacité",G23*O23*VLOOKUP(F23,Paramétrage!$C$6:$E$27,2,0))))</f>
        <v>12</v>
      </c>
      <c r="Q23" s="68"/>
      <c r="R23" s="44">
        <f t="shared" si="1"/>
        <v>12</v>
      </c>
      <c r="S23" s="448">
        <f>IF(F23="",0,IF(ISERROR(Q23+P23*VLOOKUP(F23,Paramétrage!$C$6:$E$27,3,0))=TRUE,R23,Q23+P23*VLOOKUP(F23,Paramétrage!$C$6:$E$27,3,0)))</f>
        <v>12</v>
      </c>
      <c r="T23" s="449"/>
      <c r="U23" s="449"/>
      <c r="V23" s="449">
        <v>12</v>
      </c>
      <c r="W23" s="449"/>
      <c r="X23" s="430">
        <f t="shared" si="2"/>
        <v>12</v>
      </c>
      <c r="Y23" s="458"/>
      <c r="Z23" s="459"/>
      <c r="AA23" s="460"/>
      <c r="AB23" s="60">
        <f>IF(B23="",0,IF(D23="",0,IF(SUMIF(B7:B35,B23,H7:H35)=0,0,IF(D23="Obligatoire",AC23/H23,IF(E23="",AC23/SUMIF(B7:B35,B23,H7:H35),AC23/(SUMIF(B7:B35,B23,H7:H35)/E23))))))</f>
        <v>0</v>
      </c>
      <c r="AC23" s="45">
        <f>G23*H23</f>
        <v>180</v>
      </c>
    </row>
    <row r="24" spans="1:29" ht="31.8" thickBot="1" x14ac:dyDescent="0.3">
      <c r="A24" s="490"/>
      <c r="B24" s="95"/>
      <c r="C24" s="444" t="s">
        <v>109</v>
      </c>
      <c r="D24" s="86" t="s">
        <v>88</v>
      </c>
      <c r="E24" s="65"/>
      <c r="F24" s="66" t="s">
        <v>89</v>
      </c>
      <c r="G24" s="77">
        <v>12</v>
      </c>
      <c r="H24" s="71">
        <v>15</v>
      </c>
      <c r="I24" s="99">
        <v>30</v>
      </c>
      <c r="J24" s="69" t="s">
        <v>90</v>
      </c>
      <c r="K24" s="459"/>
      <c r="L24" s="459"/>
      <c r="M24" s="459"/>
      <c r="N24" s="461"/>
      <c r="O24" s="427">
        <f>IF(OR(I24="",F24=Paramétrage!$C$9,F24=Paramétrage!$C$12,F24=Paramétrage!$C$15,F24=Paramétrage!$C$18,F24=[1]Paramétrage!$C$23,F24=Paramétrage!$C$25,J24="Mut+ext"),"",ROUNDUP(H24/I24,0))</f>
        <v>1</v>
      </c>
      <c r="P24" s="100">
        <f>IF(F24="",0,IF(OR(J24="Mut+ext",VLOOKUP(F24,Paramétrage!$C$6:$E$27,2,0)=0),0,IF(I24="","saisir capacité",G24*O24*VLOOKUP(F24,Paramétrage!$C$6:$E$27,2,0))))</f>
        <v>12</v>
      </c>
      <c r="Q24" s="68"/>
      <c r="R24" s="44">
        <f t="shared" si="1"/>
        <v>12</v>
      </c>
      <c r="S24" s="448">
        <f>IF(F24="",0,IF(ISERROR(Q24+P24*VLOOKUP(F24,Paramétrage!$C$6:$E$27,3,0))=TRUE,R24,Q24+P24*VLOOKUP(F24,Paramétrage!$C$6:$E$27,3,0)))</f>
        <v>12</v>
      </c>
      <c r="T24" s="449"/>
      <c r="U24" s="449"/>
      <c r="V24" s="449">
        <v>12</v>
      </c>
      <c r="W24" s="449"/>
      <c r="X24" s="430">
        <f t="shared" si="2"/>
        <v>12</v>
      </c>
      <c r="Y24" s="458"/>
      <c r="Z24" s="459"/>
      <c r="AA24" s="460"/>
      <c r="AB24" s="60">
        <f>IF(B24="",0,IF(D24="",0,IF(SUMIF(B7:B35,B24,H7:H35)=0,0,IF(D24="Obligatoire",AC24/H24,IF(E24="",AC24/SUMIF(B7:B35,B24,H7:H35),AC24/(SUMIF(B7:B35,B24,H7:H35)/E24))))))</f>
        <v>0</v>
      </c>
      <c r="AC24" s="45">
        <f>G24*H24</f>
        <v>180</v>
      </c>
    </row>
    <row r="25" spans="1:29" ht="16.2" thickBot="1" x14ac:dyDescent="0.3">
      <c r="A25" s="490"/>
      <c r="B25" s="95"/>
      <c r="C25" s="444" t="s">
        <v>110</v>
      </c>
      <c r="D25" s="86" t="s">
        <v>88</v>
      </c>
      <c r="E25" s="65"/>
      <c r="F25" s="66" t="s">
        <v>89</v>
      </c>
      <c r="G25" s="77">
        <v>12</v>
      </c>
      <c r="H25" s="71">
        <v>15</v>
      </c>
      <c r="I25" s="99">
        <v>30</v>
      </c>
      <c r="J25" s="69" t="s">
        <v>90</v>
      </c>
      <c r="K25" s="441"/>
      <c r="L25" s="441"/>
      <c r="M25" s="441"/>
      <c r="N25" s="443"/>
      <c r="O25" s="427">
        <f>IF(OR(I25="",F25=Paramétrage!$C$9,F25=Paramétrage!$C$12,F25=Paramétrage!$C$15,F25=Paramétrage!$C$18,F25=[1]Paramétrage!$C$23,F25=Paramétrage!$C$25,J25="Mut+ext"),"",ROUNDUP(H25/I25,0))</f>
        <v>1</v>
      </c>
      <c r="P25" s="100">
        <f>IF(F25="",0,IF(OR(J25="Mut+ext",VLOOKUP(F25,Paramétrage!$C$6:$E$27,2,0)=0),0,IF(I25="","saisir capacité",G25*O25*VLOOKUP(F25,Paramétrage!$C$6:$E$27,2,0))))</f>
        <v>12</v>
      </c>
      <c r="Q25" s="68"/>
      <c r="R25" s="44">
        <v>12</v>
      </c>
      <c r="S25" s="448">
        <v>12</v>
      </c>
      <c r="T25" s="449"/>
      <c r="U25" s="449"/>
      <c r="V25" s="449">
        <v>12</v>
      </c>
      <c r="W25" s="449"/>
      <c r="X25" s="430">
        <f t="shared" si="2"/>
        <v>12</v>
      </c>
      <c r="Y25" s="440"/>
      <c r="Z25" s="441"/>
      <c r="AA25" s="442"/>
      <c r="AB25" s="60"/>
      <c r="AC25" s="45"/>
    </row>
    <row r="26" spans="1:29" ht="31.8" thickBot="1" x14ac:dyDescent="0.3">
      <c r="A26" s="490"/>
      <c r="B26" s="95"/>
      <c r="C26" s="444" t="s">
        <v>111</v>
      </c>
      <c r="D26" s="86" t="s">
        <v>88</v>
      </c>
      <c r="E26" s="65"/>
      <c r="F26" s="66" t="s">
        <v>89</v>
      </c>
      <c r="G26" s="77">
        <v>12</v>
      </c>
      <c r="H26" s="71">
        <v>15</v>
      </c>
      <c r="I26" s="99">
        <v>30</v>
      </c>
      <c r="J26" s="69" t="s">
        <v>90</v>
      </c>
      <c r="K26" s="441"/>
      <c r="L26" s="441"/>
      <c r="M26" s="441"/>
      <c r="N26" s="443"/>
      <c r="O26" s="427">
        <f>IF(OR(I26="",F26=Paramétrage!$C$9,F26=Paramétrage!$C$12,F26=Paramétrage!$C$15,F26=Paramétrage!$C$18,F26=[1]Paramétrage!$C$23,F26=Paramétrage!$C$25,J26="Mut+ext"),"",ROUNDUP(H26/I26,0))</f>
        <v>1</v>
      </c>
      <c r="P26" s="100">
        <f>IF(F26="",0,IF(OR(J26="Mut+ext",VLOOKUP(F26,Paramétrage!$C$6:$E$27,2,0)=0),0,IF(I26="","saisir capacité",G26*O26*VLOOKUP(F26,Paramétrage!$C$6:$E$27,2,0))))</f>
        <v>12</v>
      </c>
      <c r="Q26" s="68"/>
      <c r="R26" s="44">
        <v>12</v>
      </c>
      <c r="S26" s="448">
        <v>12</v>
      </c>
      <c r="T26" s="449"/>
      <c r="U26" s="449"/>
      <c r="V26" s="449">
        <v>12</v>
      </c>
      <c r="W26" s="449"/>
      <c r="X26" s="430">
        <f t="shared" si="2"/>
        <v>12</v>
      </c>
      <c r="Y26" s="440"/>
      <c r="Z26" s="441"/>
      <c r="AA26" s="442"/>
      <c r="AB26" s="60"/>
      <c r="AC26" s="45"/>
    </row>
    <row r="27" spans="1:29" ht="16.2" thickBot="1" x14ac:dyDescent="0.3">
      <c r="A27" s="490"/>
      <c r="B27" s="95"/>
      <c r="C27" s="444" t="s">
        <v>112</v>
      </c>
      <c r="D27" s="86" t="s">
        <v>88</v>
      </c>
      <c r="E27" s="65"/>
      <c r="F27" s="66" t="s">
        <v>93</v>
      </c>
      <c r="G27" s="77">
        <v>12</v>
      </c>
      <c r="H27" s="71">
        <v>15</v>
      </c>
      <c r="I27" s="446">
        <v>300</v>
      </c>
      <c r="J27" s="69" t="s">
        <v>94</v>
      </c>
      <c r="K27" s="441"/>
      <c r="L27" s="441"/>
      <c r="M27" s="441"/>
      <c r="N27" s="443"/>
      <c r="O27" s="427">
        <f>IF(OR(I27="",F27=Paramétrage!$C$9,F27=Paramétrage!$C$12,F27=Paramétrage!$C$15,F27=Paramétrage!$C$18,F27=[1]Paramétrage!$C$23,F27=Paramétrage!$C$25,J27="Mut+ext"),"",ROUNDUP(H27/I27,0))</f>
        <v>1</v>
      </c>
      <c r="P27" s="100">
        <f>IF(F27="",0,IF(OR(J27="Mut+ext",VLOOKUP(F27,Paramétrage!$C$6:$E$27,2,0)=0),0,IF(I27="","saisir capacité",G27*O27*VLOOKUP(F27,Paramétrage!$C$6:$E$27,2,0))))</f>
        <v>12</v>
      </c>
      <c r="Q27" s="68"/>
      <c r="R27" s="44">
        <v>18</v>
      </c>
      <c r="S27" s="448">
        <v>18</v>
      </c>
      <c r="T27" s="449"/>
      <c r="U27" s="449"/>
      <c r="V27" s="449">
        <v>18</v>
      </c>
      <c r="W27" s="449"/>
      <c r="X27" s="430">
        <f t="shared" si="2"/>
        <v>18</v>
      </c>
      <c r="Y27" s="440"/>
      <c r="Z27" s="441"/>
      <c r="AA27" s="442"/>
      <c r="AB27" s="60"/>
      <c r="AC27" s="45"/>
    </row>
    <row r="28" spans="1:29" ht="16.2" thickBot="1" x14ac:dyDescent="0.3">
      <c r="A28" s="490"/>
      <c r="B28" s="95"/>
      <c r="C28" s="444" t="s">
        <v>113</v>
      </c>
      <c r="D28" s="86" t="s">
        <v>88</v>
      </c>
      <c r="E28" s="65"/>
      <c r="F28" s="66" t="s">
        <v>93</v>
      </c>
      <c r="G28" s="77">
        <v>12</v>
      </c>
      <c r="H28" s="71">
        <v>15</v>
      </c>
      <c r="I28" s="446">
        <v>30</v>
      </c>
      <c r="J28" s="69" t="s">
        <v>94</v>
      </c>
      <c r="K28" s="441"/>
      <c r="L28" s="441"/>
      <c r="M28" s="441"/>
      <c r="N28" s="443"/>
      <c r="O28" s="427">
        <f>IF(OR(I28="",F28=Paramétrage!$C$9,F28=Paramétrage!$C$12,F28=Paramétrage!$C$15,F28=Paramétrage!$C$18,F28=[1]Paramétrage!$C$23,F28=Paramétrage!$C$25,J28="Mut+ext"),"",ROUNDUP(H28/I28,0))</f>
        <v>1</v>
      </c>
      <c r="P28" s="100">
        <f>IF(F28="",0,IF(OR(J28="Mut+ext",VLOOKUP(F28,Paramétrage!$C$6:$E$27,2,0)=0),0,IF(I28="","saisir capacité",G28*O28*VLOOKUP(F28,Paramétrage!$C$6:$E$27,2,0))))</f>
        <v>12</v>
      </c>
      <c r="Q28" s="68"/>
      <c r="R28" s="44">
        <v>18</v>
      </c>
      <c r="S28" s="448">
        <v>18</v>
      </c>
      <c r="T28" s="449">
        <v>18</v>
      </c>
      <c r="U28" s="449"/>
      <c r="V28" s="449"/>
      <c r="W28" s="449"/>
      <c r="X28" s="430">
        <f t="shared" si="2"/>
        <v>18</v>
      </c>
      <c r="Y28" s="440"/>
      <c r="Z28" s="441"/>
      <c r="AA28" s="442"/>
      <c r="AB28" s="60"/>
      <c r="AC28" s="45"/>
    </row>
    <row r="29" spans="1:29" ht="16.2" thickBot="1" x14ac:dyDescent="0.3">
      <c r="A29" s="490"/>
      <c r="B29" s="95"/>
      <c r="C29" s="444" t="s">
        <v>114</v>
      </c>
      <c r="D29" s="86" t="s">
        <v>88</v>
      </c>
      <c r="E29" s="65"/>
      <c r="F29" s="66" t="s">
        <v>89</v>
      </c>
      <c r="G29" s="77">
        <v>16</v>
      </c>
      <c r="H29" s="71">
        <v>15</v>
      </c>
      <c r="I29" s="446">
        <v>30</v>
      </c>
      <c r="J29" s="69" t="s">
        <v>90</v>
      </c>
      <c r="K29" s="441"/>
      <c r="L29" s="441"/>
      <c r="M29" s="441"/>
      <c r="N29" s="443"/>
      <c r="O29" s="427">
        <f>IF(OR(I29="",F29=Paramétrage!$C$9,F29=Paramétrage!$C$12,F29=Paramétrage!$C$15,F29=Paramétrage!$C$18,F29=[1]Paramétrage!$C$23,F29=Paramétrage!$C$25,J29="Mut+ext"),"",ROUNDUP(H29/I29,0))</f>
        <v>1</v>
      </c>
      <c r="P29" s="100">
        <f>IF(F29="",0,IF(OR(J29="Mut+ext",VLOOKUP(F29,Paramétrage!$C$6:$E$27,2,0)=0),0,IF(I29="","saisir capacité",G29*O29*VLOOKUP(F29,Paramétrage!$C$6:$E$27,2,0))))</f>
        <v>16</v>
      </c>
      <c r="Q29" s="68"/>
      <c r="R29" s="44">
        <v>16</v>
      </c>
      <c r="S29" s="448">
        <v>16</v>
      </c>
      <c r="T29" s="449"/>
      <c r="U29" s="449"/>
      <c r="V29" s="449">
        <v>16</v>
      </c>
      <c r="W29" s="449"/>
      <c r="X29" s="430">
        <f t="shared" si="2"/>
        <v>16</v>
      </c>
      <c r="Y29" s="440"/>
      <c r="Z29" s="441"/>
      <c r="AA29" s="442"/>
      <c r="AB29" s="60"/>
      <c r="AC29" s="45"/>
    </row>
    <row r="30" spans="1:29" ht="16.2" thickBot="1" x14ac:dyDescent="0.3">
      <c r="A30" s="490"/>
      <c r="B30" s="95"/>
      <c r="C30" s="444" t="s">
        <v>115</v>
      </c>
      <c r="D30" s="86" t="s">
        <v>88</v>
      </c>
      <c r="E30" s="65"/>
      <c r="F30" s="66" t="s">
        <v>89</v>
      </c>
      <c r="G30" s="77">
        <v>12</v>
      </c>
      <c r="H30" s="71">
        <v>15</v>
      </c>
      <c r="I30" s="446">
        <v>30</v>
      </c>
      <c r="J30" s="69" t="s">
        <v>90</v>
      </c>
      <c r="K30" s="441"/>
      <c r="L30" s="441"/>
      <c r="M30" s="441"/>
      <c r="N30" s="443"/>
      <c r="O30" s="427">
        <f>IF(OR(I30="",F30=Paramétrage!$C$9,F30=Paramétrage!$C$12,F30=Paramétrage!$C$15,F30=Paramétrage!$C$18,F30=[1]Paramétrage!$C$23,F30=Paramétrage!$C$25,J30="Mut+ext"),"",ROUNDUP(H30/I30,0))</f>
        <v>1</v>
      </c>
      <c r="P30" s="100">
        <f>IF(F30="",0,IF(OR(J30="Mut+ext",VLOOKUP(F30,Paramétrage!$C$6:$E$27,2,0)=0),0,IF(I30="","saisir capacité",G30*O30*VLOOKUP(F30,Paramétrage!$C$6:$E$27,2,0))))</f>
        <v>12</v>
      </c>
      <c r="Q30" s="68"/>
      <c r="R30" s="44">
        <v>12</v>
      </c>
      <c r="S30" s="448">
        <v>12</v>
      </c>
      <c r="T30" s="449">
        <v>12</v>
      </c>
      <c r="U30" s="449"/>
      <c r="V30" s="449"/>
      <c r="W30" s="449"/>
      <c r="X30" s="430">
        <f t="shared" si="2"/>
        <v>12</v>
      </c>
      <c r="Y30" s="440"/>
      <c r="Z30" s="441"/>
      <c r="AA30" s="442"/>
      <c r="AB30" s="60"/>
      <c r="AC30" s="45"/>
    </row>
    <row r="31" spans="1:29" ht="16.2" thickBot="1" x14ac:dyDescent="0.3">
      <c r="A31" s="490"/>
      <c r="B31" s="95"/>
      <c r="C31" s="444" t="s">
        <v>116</v>
      </c>
      <c r="D31" s="86" t="s">
        <v>88</v>
      </c>
      <c r="E31" s="65"/>
      <c r="F31" s="66" t="s">
        <v>89</v>
      </c>
      <c r="G31" s="77">
        <v>20</v>
      </c>
      <c r="H31" s="71">
        <v>15</v>
      </c>
      <c r="I31" s="446">
        <v>30</v>
      </c>
      <c r="J31" s="69" t="s">
        <v>90</v>
      </c>
      <c r="K31" s="441"/>
      <c r="L31" s="441"/>
      <c r="M31" s="441"/>
      <c r="N31" s="443"/>
      <c r="O31" s="427">
        <f>IF(OR(I31="",F31=Paramétrage!$C$9,F31=Paramétrage!$C$12,F31=Paramétrage!$C$15,F31=Paramétrage!$C$18,F31=[1]Paramétrage!$C$23,F31=Paramétrage!$C$25,J31="Mut+ext"),"",ROUNDUP(H31/I31,0))</f>
        <v>1</v>
      </c>
      <c r="P31" s="100">
        <f>IF(F31="",0,IF(OR(J31="Mut+ext",VLOOKUP(F31,Paramétrage!$C$6:$E$27,2,0)=0),0,IF(I31="","saisir capacité",G31*O31*VLOOKUP(F31,Paramétrage!$C$6:$E$27,2,0))))</f>
        <v>20</v>
      </c>
      <c r="Q31" s="68"/>
      <c r="R31" s="44">
        <v>20</v>
      </c>
      <c r="S31" s="448">
        <v>20</v>
      </c>
      <c r="T31" s="449"/>
      <c r="U31" s="449">
        <v>20</v>
      </c>
      <c r="V31" s="449"/>
      <c r="W31" s="449"/>
      <c r="X31" s="430">
        <f t="shared" si="2"/>
        <v>20</v>
      </c>
      <c r="Y31" s="440"/>
      <c r="Z31" s="441"/>
      <c r="AA31" s="442"/>
      <c r="AB31" s="60"/>
      <c r="AC31" s="45"/>
    </row>
    <row r="32" spans="1:29" ht="31.8" thickBot="1" x14ac:dyDescent="0.3">
      <c r="A32" s="490"/>
      <c r="B32" s="95"/>
      <c r="C32" s="444" t="s">
        <v>117</v>
      </c>
      <c r="D32" s="86" t="s">
        <v>88</v>
      </c>
      <c r="E32" s="65"/>
      <c r="F32" s="66" t="s">
        <v>89</v>
      </c>
      <c r="G32" s="77">
        <v>12</v>
      </c>
      <c r="H32" s="71">
        <v>15</v>
      </c>
      <c r="I32" s="446">
        <v>30</v>
      </c>
      <c r="J32" s="69" t="s">
        <v>90</v>
      </c>
      <c r="K32" s="441"/>
      <c r="L32" s="441"/>
      <c r="M32" s="441"/>
      <c r="N32" s="443"/>
      <c r="O32" s="427">
        <f>IF(OR(I32="",F32=Paramétrage!$C$9,F32=Paramétrage!$C$12,F32=Paramétrage!$C$15,F32=Paramétrage!$C$18,F32=[1]Paramétrage!$C$23,F32=Paramétrage!$C$25,J32="Mut+ext"),"",ROUNDUP(H32/I32,0))</f>
        <v>1</v>
      </c>
      <c r="P32" s="100">
        <f>IF(F32="",0,IF(OR(J32="Mut+ext",VLOOKUP(F32,Paramétrage!$C$6:$E$27,2,0)=0),0,IF(I32="","saisir capacité",G32*O32*VLOOKUP(F32,Paramétrage!$C$6:$E$27,2,0))))</f>
        <v>12</v>
      </c>
      <c r="Q32" s="68"/>
      <c r="R32" s="44">
        <v>12</v>
      </c>
      <c r="S32" s="448">
        <v>12</v>
      </c>
      <c r="T32" s="449"/>
      <c r="U32" s="449">
        <v>12</v>
      </c>
      <c r="V32" s="449"/>
      <c r="W32" s="449"/>
      <c r="X32" s="430">
        <f t="shared" si="2"/>
        <v>12</v>
      </c>
      <c r="Y32" s="440"/>
      <c r="Z32" s="441"/>
      <c r="AA32" s="442"/>
      <c r="AB32" s="60"/>
      <c r="AC32" s="45"/>
    </row>
    <row r="33" spans="1:29" ht="16.2" thickBot="1" x14ac:dyDescent="0.3">
      <c r="A33" s="490"/>
      <c r="B33" s="95"/>
      <c r="C33" s="444"/>
      <c r="D33" s="86"/>
      <c r="E33" s="65"/>
      <c r="F33" s="66"/>
      <c r="G33" s="77"/>
      <c r="H33" s="71"/>
      <c r="I33" s="446"/>
      <c r="J33" s="69"/>
      <c r="K33" s="441"/>
      <c r="L33" s="441"/>
      <c r="M33" s="441"/>
      <c r="N33" s="443"/>
      <c r="O33" s="427"/>
      <c r="P33" s="46"/>
      <c r="Q33" s="68"/>
      <c r="R33" s="44"/>
      <c r="S33" s="448"/>
      <c r="T33" s="449"/>
      <c r="U33" s="449"/>
      <c r="V33" s="449"/>
      <c r="W33" s="449"/>
      <c r="X33" s="431"/>
      <c r="Y33" s="440"/>
      <c r="Z33" s="441"/>
      <c r="AA33" s="442"/>
      <c r="AB33" s="60"/>
      <c r="AC33" s="45"/>
    </row>
    <row r="34" spans="1:29" ht="16.2" thickBot="1" x14ac:dyDescent="0.3">
      <c r="A34" s="490"/>
      <c r="B34" s="95"/>
      <c r="C34" s="67"/>
      <c r="D34" s="86"/>
      <c r="E34" s="65"/>
      <c r="F34" s="66"/>
      <c r="G34" s="77"/>
      <c r="H34" s="71"/>
      <c r="I34" s="82"/>
      <c r="J34" s="69"/>
      <c r="K34" s="459"/>
      <c r="L34" s="459"/>
      <c r="M34" s="459"/>
      <c r="N34" s="461"/>
      <c r="O34" s="427" t="str">
        <f>IF(OR(I34="",F34=Paramétrage!$C$9,F34=Paramétrage!$C$12,F34=Paramétrage!$C$15,F34=Paramétrage!$C$18,F34=[1]Paramétrage!$C$23,F34=Paramétrage!$C$25,J34="Mut+ext"),"",ROUNDUP(H34/I34,0))</f>
        <v/>
      </c>
      <c r="P34" s="46">
        <f>IF(F34="",0,IF(OR(J34="Mut+ext",VLOOKUP(F34,Paramétrage!$C$6:$E$27,2,0)=0),0,IF(I34="","saisir capacité",G34*O34*VLOOKUP(F34,Paramétrage!$C$6:$E$27,2,0))))</f>
        <v>0</v>
      </c>
      <c r="Q34" s="68"/>
      <c r="R34" s="44">
        <f t="shared" si="1"/>
        <v>0</v>
      </c>
      <c r="S34" s="61">
        <f>IF(F34="",0,IF(ISERROR(Q34+P34*VLOOKUP(F34,Paramétrage!$C$6:$E$27,3,0))=TRUE,R34,Q34+P34*VLOOKUP(F34,Paramétrage!$C$6:$E$27,3,0)))</f>
        <v>0</v>
      </c>
      <c r="T34" s="73"/>
      <c r="U34" s="73"/>
      <c r="V34" s="73"/>
      <c r="W34" s="73"/>
      <c r="X34" s="431">
        <f t="shared" ref="X34:X35" si="7">SUM(T34:W34)</f>
        <v>0</v>
      </c>
      <c r="Y34" s="458"/>
      <c r="Z34" s="459"/>
      <c r="AA34" s="460"/>
      <c r="AB34" s="60">
        <f>IF(B34="",0,IF(D34="",0,IF(SUMIF(B7:B35,B34,H7:H35)=0,0,IF(D34="Obligatoire",AC34/H34,IF(E34="",AC34/SUMIF(B7:B35,B34,H7:H35),AC34/(SUMIF(B7:B35,B34,H7:H35)/E34))))))</f>
        <v>0</v>
      </c>
      <c r="AC34" s="45">
        <f>G34*H34</f>
        <v>0</v>
      </c>
    </row>
    <row r="35" spans="1:29" x14ac:dyDescent="0.25">
      <c r="A35" s="490"/>
      <c r="B35" s="95"/>
      <c r="C35" s="67"/>
      <c r="D35" s="86"/>
      <c r="E35" s="65"/>
      <c r="F35" s="66"/>
      <c r="G35" s="77"/>
      <c r="H35" s="71"/>
      <c r="I35" s="82"/>
      <c r="J35" s="69"/>
      <c r="K35" s="459"/>
      <c r="L35" s="459"/>
      <c r="M35" s="459"/>
      <c r="N35" s="461"/>
      <c r="O35" s="427" t="str">
        <f>IF(OR(I35="",F35=Paramétrage!$C$9,F35=Paramétrage!$C$12,F35=Paramétrage!$C$15,F35=Paramétrage!$C$18,F35=[1]Paramétrage!$C$23,F35=Paramétrage!$C$25,J35="Mut+ext"),"",ROUNDUP(H35/I35,0))</f>
        <v/>
      </c>
      <c r="P35" s="46">
        <f>IF(F35="",0,IF(OR(J35="Mut+ext",VLOOKUP(F35,Paramétrage!$C$6:$E$27,2,0)=0),0,IF(I35="","saisir capacité",G35*O35*VLOOKUP(F35,Paramétrage!$C$6:$E$27,2,0))))</f>
        <v>0</v>
      </c>
      <c r="Q35" s="68"/>
      <c r="R35" s="44">
        <f t="shared" si="1"/>
        <v>0</v>
      </c>
      <c r="S35" s="61">
        <f>IF(F35="",0,IF(ISERROR(Q35+P35*VLOOKUP(F35,Paramétrage!$C$6:$E$27,3,0))=TRUE,R35,Q35+P35*VLOOKUP(F35,Paramétrage!$C$6:$E$27,3,0)))</f>
        <v>0</v>
      </c>
      <c r="T35" s="72"/>
      <c r="U35" s="72"/>
      <c r="V35" s="72"/>
      <c r="W35" s="72"/>
      <c r="X35" s="431">
        <f t="shared" si="7"/>
        <v>0</v>
      </c>
      <c r="Y35" s="458"/>
      <c r="Z35" s="459"/>
      <c r="AA35" s="460"/>
      <c r="AB35" s="60">
        <f>IF(B35="",0,IF(D35="",0,IF(SUMIF(B7:B35,B35,H7:H35)=0,0,IF(D35="Obligatoire",AC35/H35,IF(E35="",AC35/SUMIF(B7:B35,B35,H7:H35),AC35/(SUMIF(B7:B35,B35,H7:H35)/E35))))))</f>
        <v>0</v>
      </c>
      <c r="AC35" s="45">
        <f>G35*H35</f>
        <v>0</v>
      </c>
    </row>
    <row r="36" spans="1:29" ht="16.2" thickBot="1" x14ac:dyDescent="0.3">
      <c r="A36" s="489"/>
      <c r="B36" s="426"/>
      <c r="C36" s="49"/>
      <c r="D36" s="49"/>
      <c r="E36" s="422"/>
      <c r="F36" s="78"/>
      <c r="G36" s="84">
        <f>AB36</f>
        <v>0</v>
      </c>
      <c r="H36" s="423"/>
      <c r="I36" s="424"/>
      <c r="J36" s="425"/>
      <c r="K36" s="48"/>
      <c r="L36" s="106"/>
      <c r="M36" s="106"/>
      <c r="N36" s="107"/>
      <c r="O36" s="51"/>
      <c r="P36" s="108">
        <f>SUM(P7:P35)</f>
        <v>404</v>
      </c>
      <c r="Q36" s="47">
        <f>SUM(Q7:Q35)</f>
        <v>0</v>
      </c>
      <c r="R36" s="52">
        <f t="shared" ref="R36" si="8">P36+Q36</f>
        <v>404</v>
      </c>
      <c r="S36" s="109">
        <f>SUM(S7:S35)</f>
        <v>440</v>
      </c>
      <c r="T36" s="416"/>
      <c r="U36" s="416"/>
      <c r="V36" s="416"/>
      <c r="W36" s="416"/>
      <c r="X36" s="432"/>
      <c r="Y36" s="110"/>
      <c r="Z36" s="111"/>
      <c r="AA36" s="112"/>
      <c r="AB36" s="113">
        <f>SUM(AB7:AB35)</f>
        <v>0</v>
      </c>
      <c r="AC36" s="59">
        <f>SUM(AC7:AC35)</f>
        <v>4440</v>
      </c>
    </row>
    <row r="37" spans="1:29" ht="15.6" customHeight="1" thickBot="1" x14ac:dyDescent="0.3">
      <c r="A37" s="488" t="s">
        <v>118</v>
      </c>
      <c r="B37" s="94"/>
      <c r="C37" s="447" t="s">
        <v>119</v>
      </c>
      <c r="D37" s="86" t="s">
        <v>88</v>
      </c>
      <c r="E37" s="62"/>
      <c r="F37" s="63" t="s">
        <v>120</v>
      </c>
      <c r="G37" s="76"/>
      <c r="H37" s="71">
        <v>15</v>
      </c>
      <c r="I37" s="99"/>
      <c r="J37" s="88"/>
      <c r="K37" s="463"/>
      <c r="L37" s="463"/>
      <c r="M37" s="463"/>
      <c r="N37" s="475"/>
      <c r="O37" s="427" t="str">
        <f>IF(OR(I37="",F37=Paramétrage!$C$9,F37=Paramétrage!$C$12,F37=Paramétrage!$C$15,F37=Paramétrage!$C$18,F37=[1]Paramétrage!$C$23,F37=Paramétrage!$C$25,J37="Mut+ext"),"",ROUNDUP(H37/I37,0))</f>
        <v/>
      </c>
      <c r="P37" s="100">
        <f>IF(F37="",0,IF(OR(J37="Mut+ext",VLOOKUP(F37,Paramétrage!$C$6:$E$27,2,0)=0),0,IF(I37="","saisir capacité",G37*O37*VLOOKUP(F37,Paramétrage!$C$6:$E$27,2,0))))</f>
        <v>0</v>
      </c>
      <c r="Q37" s="101"/>
      <c r="R37" s="102">
        <f t="shared" ref="R37:R56" si="9">IF(ISERROR(P37+Q37)=TRUE,P37,P37+Q37)</f>
        <v>0</v>
      </c>
      <c r="S37" s="103">
        <f>IF(F37="",0,IF(ISERROR(Q37+P37*VLOOKUP(F37,Paramétrage!$C$6:$E$27,3,0))=TRUE,R37,Q37+P37*VLOOKUP(F37,Paramétrage!$C$6:$E$27,3,0)))</f>
        <v>0</v>
      </c>
      <c r="T37" s="71"/>
      <c r="U37" s="71"/>
      <c r="V37" s="71"/>
      <c r="W37" s="71"/>
      <c r="X37" s="430">
        <f>SUM(T37:W37)</f>
        <v>0</v>
      </c>
      <c r="Y37" s="462"/>
      <c r="Z37" s="463"/>
      <c r="AA37" s="464"/>
      <c r="AB37" s="104">
        <f>IF(B37="",0,IF(D37="",0,IF(SUMIF(B37:B56,B37,H37:H56)=0,0,IF(D37="Obligatoire",AC37/H37,IF(E37="",AC37/SUMIF(B37:B56,B37,H37:H56),AC37/(SUMIF(B37:B56,B37,H37:H56)/E37))))))</f>
        <v>0</v>
      </c>
      <c r="AC37" s="105">
        <f>G37*H37</f>
        <v>0</v>
      </c>
    </row>
    <row r="38" spans="1:29" x14ac:dyDescent="0.25">
      <c r="A38" s="490"/>
      <c r="B38" s="95"/>
      <c r="C38" s="447"/>
      <c r="D38" s="86"/>
      <c r="E38" s="65"/>
      <c r="F38" s="66"/>
      <c r="G38" s="77"/>
      <c r="H38" s="72"/>
      <c r="I38" s="82"/>
      <c r="J38" s="69"/>
      <c r="K38" s="459"/>
      <c r="L38" s="459"/>
      <c r="M38" s="459"/>
      <c r="N38" s="461"/>
      <c r="O38" s="427" t="str">
        <f>IF(OR(I38="",F38=Paramétrage!$C$9,F38=Paramétrage!$C$12,F38=Paramétrage!$C$15,F38=Paramétrage!$C$18,F38=[1]Paramétrage!$C$23,F38=Paramétrage!$C$25,J38="Mut+ext"),"",ROUNDUP(H38/I38,0))</f>
        <v/>
      </c>
      <c r="P38" s="46">
        <f>IF(F38="",0,IF(OR(J38="Mut+ext",VLOOKUP(F38,Paramétrage!$C$6:$E$27,2,0)=0),0,IF(I38="","saisir capacité",G38*O38*VLOOKUP(F38,Paramétrage!$C$6:$E$27,2,0))))</f>
        <v>0</v>
      </c>
      <c r="Q38" s="68"/>
      <c r="R38" s="44">
        <f t="shared" si="9"/>
        <v>0</v>
      </c>
      <c r="S38" s="61">
        <f>IF(F38="",0,IF(ISERROR(Q38+P38*VLOOKUP(F38,Paramétrage!$C$6:$E$27,3,0))=TRUE,R38,Q38+P38*VLOOKUP(F38,Paramétrage!$C$6:$E$27,3,0)))</f>
        <v>0</v>
      </c>
      <c r="T38" s="72"/>
      <c r="U38" s="72"/>
      <c r="V38" s="72"/>
      <c r="W38" s="72"/>
      <c r="X38" s="431">
        <f t="shared" ref="X38:X56" si="10">SUM(T38:W38)</f>
        <v>0</v>
      </c>
      <c r="Y38" s="458"/>
      <c r="Z38" s="459"/>
      <c r="AA38" s="460"/>
      <c r="AB38" s="60">
        <f>IF(B38="",0,IF(D38="",0,IF(SUMIF(B37:B56,B38,H37:H56)=0,0,IF(D38="Obligatoire",AC38/H38,IF(E38="",AC38/SUMIF(B37:B56,B38,H37:H56),AC38/(SUMIF(B37:B56,B38,H37:H56)/E38))))))</f>
        <v>0</v>
      </c>
      <c r="AC38" s="45">
        <f>G38*H38</f>
        <v>0</v>
      </c>
    </row>
    <row r="39" spans="1:29" x14ac:dyDescent="0.25">
      <c r="A39" s="490"/>
      <c r="B39" s="95"/>
      <c r="C39" s="64"/>
      <c r="D39" s="87"/>
      <c r="E39" s="65"/>
      <c r="F39" s="66"/>
      <c r="G39" s="77"/>
      <c r="H39" s="72"/>
      <c r="I39" s="82"/>
      <c r="J39" s="69"/>
      <c r="K39" s="459"/>
      <c r="L39" s="459"/>
      <c r="M39" s="459"/>
      <c r="N39" s="461"/>
      <c r="O39" s="427" t="str">
        <f>IF(OR(I39="",F39=Paramétrage!$C$9,F39=Paramétrage!$C$12,F39=Paramétrage!$C$15,F39=Paramétrage!$C$18,F39=[1]Paramétrage!$C$23,F39=Paramétrage!$C$25,J39="Mut+ext"),"",ROUNDUP(H39/I39,0))</f>
        <v/>
      </c>
      <c r="P39" s="46">
        <f>IF(F39="",0,IF(OR(J39="Mut+ext",VLOOKUP(F39,Paramétrage!$C$6:$E$27,2,0)=0),0,IF(I39="","saisir capacité",G39*O39*VLOOKUP(F39,Paramétrage!$C$6:$E$27,2,0))))</f>
        <v>0</v>
      </c>
      <c r="Q39" s="68"/>
      <c r="R39" s="44">
        <f t="shared" ref="R39:R52" si="11">IF(ISERROR(P39+Q39)=TRUE,P39,P39+Q39)</f>
        <v>0</v>
      </c>
      <c r="S39" s="61">
        <f>IF(F39="",0,IF(ISERROR(Q39+P39*VLOOKUP(F39,Paramétrage!$C$6:$E$27,3,0))=TRUE,R39,Q39+P39*VLOOKUP(F39,Paramétrage!$C$6:$E$27,3,0)))</f>
        <v>0</v>
      </c>
      <c r="T39" s="72"/>
      <c r="U39" s="72"/>
      <c r="V39" s="72"/>
      <c r="W39" s="72"/>
      <c r="X39" s="431">
        <f t="shared" si="10"/>
        <v>0</v>
      </c>
      <c r="Y39" s="458"/>
      <c r="Z39" s="459"/>
      <c r="AA39" s="460"/>
      <c r="AB39" s="60">
        <f>IF(B39="",0,IF(D39="",0,IF(SUMIF(B38:B57,B39,H38:H57)=0,0,IF(D39="Obligatoire",AC39/H39,IF(E39="",AC39/SUMIF(B38:B57,B39,H38:H57),AC39/(SUMIF(B38:B57,B39,H38:H57)/E39))))))</f>
        <v>0</v>
      </c>
      <c r="AC39" s="45">
        <f t="shared" ref="AC39:AC50" si="12">G39*H39</f>
        <v>0</v>
      </c>
    </row>
    <row r="40" spans="1:29" x14ac:dyDescent="0.25">
      <c r="A40" s="490"/>
      <c r="B40" s="95"/>
      <c r="C40" s="64"/>
      <c r="D40" s="87"/>
      <c r="E40" s="65"/>
      <c r="F40" s="66"/>
      <c r="G40" s="77"/>
      <c r="H40" s="72"/>
      <c r="I40" s="82"/>
      <c r="J40" s="69"/>
      <c r="K40" s="459"/>
      <c r="L40" s="459"/>
      <c r="M40" s="459"/>
      <c r="N40" s="461"/>
      <c r="O40" s="427" t="str">
        <f>IF(OR(I40="",F40=Paramétrage!$C$9,F40=Paramétrage!$C$12,F40=Paramétrage!$C$15,F40=Paramétrage!$C$18,F40=[1]Paramétrage!$C$23,F40=Paramétrage!$C$25,J40="Mut+ext"),"",ROUNDUP(H40/I40,0))</f>
        <v/>
      </c>
      <c r="P40" s="46">
        <f>IF(F40="",0,IF(OR(J40="Mut+ext",VLOOKUP(F40,Paramétrage!$C$6:$E$27,2,0)=0),0,IF(I40="","saisir capacité",G40*O40*VLOOKUP(F40,Paramétrage!$C$6:$E$27,2,0))))</f>
        <v>0</v>
      </c>
      <c r="Q40" s="68"/>
      <c r="R40" s="44">
        <f t="shared" ref="R40:R46" si="13">IF(ISERROR(P40+Q40)=TRUE,P40,P40+Q40)</f>
        <v>0</v>
      </c>
      <c r="S40" s="61">
        <f>IF(F40="",0,IF(ISERROR(Q40+P40*VLOOKUP(F40,Paramétrage!$C$6:$E$27,3,0))=TRUE,R40,Q40+P40*VLOOKUP(F40,Paramétrage!$C$6:$E$27,3,0)))</f>
        <v>0</v>
      </c>
      <c r="T40" s="72"/>
      <c r="U40" s="72"/>
      <c r="V40" s="72"/>
      <c r="W40" s="72"/>
      <c r="X40" s="431">
        <f t="shared" si="10"/>
        <v>0</v>
      </c>
      <c r="Y40" s="458"/>
      <c r="Z40" s="459"/>
      <c r="AA40" s="460"/>
      <c r="AB40" s="60">
        <f>IF(B40="",0,IF(D40="",0,IF(SUMIF(B39:B58,B40,H39:H58)=0,0,IF(D40="Obligatoire",AC40/H40,IF(E40="",AC40/SUMIF(B39:B58,B40,H39:H58),AC40/(SUMIF(B39:B58,B40,H39:H58)/E40))))))</f>
        <v>0</v>
      </c>
      <c r="AC40" s="45">
        <f t="shared" ref="AC40:AC46" si="14">G40*H40</f>
        <v>0</v>
      </c>
    </row>
    <row r="41" spans="1:29" x14ac:dyDescent="0.25">
      <c r="A41" s="490"/>
      <c r="B41" s="95"/>
      <c r="C41" s="64"/>
      <c r="D41" s="87"/>
      <c r="E41" s="65"/>
      <c r="F41" s="66"/>
      <c r="G41" s="77"/>
      <c r="H41" s="72"/>
      <c r="I41" s="82"/>
      <c r="J41" s="69"/>
      <c r="K41" s="459"/>
      <c r="L41" s="459"/>
      <c r="M41" s="459"/>
      <c r="N41" s="461"/>
      <c r="O41" s="427" t="str">
        <f>IF(OR(I41="",F41=Paramétrage!$C$9,F41=Paramétrage!$C$12,F41=Paramétrage!$C$15,F41=Paramétrage!$C$18,F41=[1]Paramétrage!$C$23,F41=Paramétrage!$C$25,J41="Mut+ext"),"",ROUNDUP(H41/I41,0))</f>
        <v/>
      </c>
      <c r="P41" s="46">
        <f>IF(F41="",0,IF(OR(J41="Mut+ext",VLOOKUP(F41,Paramétrage!$C$6:$E$27,2,0)=0),0,IF(I41="","saisir capacité",G41*O41*VLOOKUP(F41,Paramétrage!$C$6:$E$27,2,0))))</f>
        <v>0</v>
      </c>
      <c r="Q41" s="68"/>
      <c r="R41" s="44">
        <f t="shared" si="13"/>
        <v>0</v>
      </c>
      <c r="S41" s="61">
        <f>IF(F41="",0,IF(ISERROR(Q41+P41*VLOOKUP(F41,Paramétrage!$C$6:$E$27,3,0))=TRUE,R41,Q41+P41*VLOOKUP(F41,Paramétrage!$C$6:$E$27,3,0)))</f>
        <v>0</v>
      </c>
      <c r="T41" s="72"/>
      <c r="U41" s="72"/>
      <c r="V41" s="72"/>
      <c r="W41" s="72"/>
      <c r="X41" s="431">
        <f t="shared" si="10"/>
        <v>0</v>
      </c>
      <c r="Y41" s="458"/>
      <c r="Z41" s="459"/>
      <c r="AA41" s="460"/>
      <c r="AB41" s="60">
        <f>IF(B41="",0,IF(D41="",0,IF(SUMIF(B40:B59,B41,H40:H59)=0,0,IF(D41="Obligatoire",AC41/H41,IF(E41="",AC41/SUMIF(B40:B59,B41,H40:H59),AC41/(SUMIF(B40:B59,B41,H40:H59)/E41))))))</f>
        <v>0</v>
      </c>
      <c r="AC41" s="45">
        <f t="shared" si="14"/>
        <v>0</v>
      </c>
    </row>
    <row r="42" spans="1:29" x14ac:dyDescent="0.25">
      <c r="A42" s="490"/>
      <c r="B42" s="95"/>
      <c r="C42" s="64"/>
      <c r="D42" s="87"/>
      <c r="E42" s="65"/>
      <c r="F42" s="66"/>
      <c r="G42" s="77"/>
      <c r="H42" s="72"/>
      <c r="I42" s="82"/>
      <c r="J42" s="69"/>
      <c r="K42" s="459"/>
      <c r="L42" s="459"/>
      <c r="M42" s="459"/>
      <c r="N42" s="461"/>
      <c r="O42" s="427" t="str">
        <f>IF(OR(I42="",F42=Paramétrage!$C$9,F42=Paramétrage!$C$12,F42=Paramétrage!$C$15,F42=Paramétrage!$C$18,F42=[1]Paramétrage!$C$23,F42=Paramétrage!$C$25,J42="Mut+ext"),"",ROUNDUP(H42/I42,0))</f>
        <v/>
      </c>
      <c r="P42" s="46">
        <f>IF(F42="",0,IF(OR(J42="Mut+ext",VLOOKUP(F42,Paramétrage!$C$6:$E$27,2,0)=0),0,IF(I42="","saisir capacité",G42*O42*VLOOKUP(F42,Paramétrage!$C$6:$E$27,2,0))))</f>
        <v>0</v>
      </c>
      <c r="Q42" s="68"/>
      <c r="R42" s="44">
        <f t="shared" ref="R42:R43" si="15">IF(ISERROR(P42+Q42)=TRUE,P42,P42+Q42)</f>
        <v>0</v>
      </c>
      <c r="S42" s="61">
        <f>IF(F42="",0,IF(ISERROR(Q42+P42*VLOOKUP(F42,Paramétrage!$C$6:$E$27,3,0))=TRUE,R42,Q42+P42*VLOOKUP(F42,Paramétrage!$C$6:$E$27,3,0)))</f>
        <v>0</v>
      </c>
      <c r="T42" s="72"/>
      <c r="U42" s="72"/>
      <c r="V42" s="72"/>
      <c r="W42" s="72"/>
      <c r="X42" s="431">
        <f t="shared" si="10"/>
        <v>0</v>
      </c>
      <c r="Y42" s="458"/>
      <c r="Z42" s="459"/>
      <c r="AA42" s="460"/>
      <c r="AB42" s="60">
        <f>IF(B42="",0,IF(D42="",0,IF(SUMIF(B41:B72,B42,H41:H72)=0,0,IF(D42="Obligatoire",AC42/H42,IF(E42="",AC42/SUMIF(B41:B72,B42,H41:H72),AC42/(SUMIF(B41:B72,B42,H41:H72)/E42))))))</f>
        <v>0</v>
      </c>
      <c r="AC42" s="45">
        <f t="shared" ref="AC42:AC43" si="16">G42*H42</f>
        <v>0</v>
      </c>
    </row>
    <row r="43" spans="1:29" x14ac:dyDescent="0.25">
      <c r="A43" s="490"/>
      <c r="B43" s="95"/>
      <c r="C43" s="64"/>
      <c r="D43" s="87"/>
      <c r="E43" s="65"/>
      <c r="F43" s="66"/>
      <c r="G43" s="77"/>
      <c r="H43" s="72"/>
      <c r="I43" s="82"/>
      <c r="J43" s="69"/>
      <c r="K43" s="459"/>
      <c r="L43" s="459"/>
      <c r="M43" s="459"/>
      <c r="N43" s="461"/>
      <c r="O43" s="427" t="str">
        <f>IF(OR(I43="",F43=Paramétrage!$C$9,F43=Paramétrage!$C$12,F43=Paramétrage!$C$15,F43=Paramétrage!$C$18,F43=[1]Paramétrage!$C$23,F43=Paramétrage!$C$25,J43="Mut+ext"),"",ROUNDUP(H43/I43,0))</f>
        <v/>
      </c>
      <c r="P43" s="46">
        <f>IF(F43="",0,IF(OR(J43="Mut+ext",VLOOKUP(F43,Paramétrage!$C$6:$E$27,2,0)=0),0,IF(I43="","saisir capacité",G43*O43*VLOOKUP(F43,Paramétrage!$C$6:$E$27,2,0))))</f>
        <v>0</v>
      </c>
      <c r="Q43" s="68"/>
      <c r="R43" s="44">
        <f t="shared" si="15"/>
        <v>0</v>
      </c>
      <c r="S43" s="61">
        <f>IF(F43="",0,IF(ISERROR(Q43+P43*VLOOKUP(F43,Paramétrage!$C$6:$E$27,3,0))=TRUE,R43,Q43+P43*VLOOKUP(F43,Paramétrage!$C$6:$E$27,3,0)))</f>
        <v>0</v>
      </c>
      <c r="T43" s="72"/>
      <c r="U43" s="72"/>
      <c r="V43" s="72"/>
      <c r="W43" s="72"/>
      <c r="X43" s="431">
        <f t="shared" si="10"/>
        <v>0</v>
      </c>
      <c r="Y43" s="458"/>
      <c r="Z43" s="459"/>
      <c r="AA43" s="460"/>
      <c r="AB43" s="60">
        <f>IF(B43="",0,IF(D43="",0,IF(SUMIF(B42:B73,B43,H42:H73)=0,0,IF(D43="Obligatoire",AC43/H43,IF(E43="",AC43/SUMIF(B42:B73,B43,H42:H73),AC43/(SUMIF(B42:B73,B43,H42:H73)/E43))))))</f>
        <v>0</v>
      </c>
      <c r="AC43" s="45">
        <f t="shared" si="16"/>
        <v>0</v>
      </c>
    </row>
    <row r="44" spans="1:29" x14ac:dyDescent="0.25">
      <c r="A44" s="490"/>
      <c r="B44" s="95"/>
      <c r="C44" s="64"/>
      <c r="D44" s="87"/>
      <c r="E44" s="65"/>
      <c r="F44" s="66"/>
      <c r="G44" s="77"/>
      <c r="H44" s="72"/>
      <c r="I44" s="82"/>
      <c r="J44" s="69"/>
      <c r="K44" s="459"/>
      <c r="L44" s="459"/>
      <c r="M44" s="459"/>
      <c r="N44" s="461"/>
      <c r="O44" s="427" t="str">
        <f>IF(OR(I44="",F44=Paramétrage!$C$9,F44=Paramétrage!$C$12,F44=Paramétrage!$C$15,F44=Paramétrage!$C$18,F44=[1]Paramétrage!$C$23,F44=Paramétrage!$C$25,J44="Mut+ext"),"",ROUNDUP(H44/I44,0))</f>
        <v/>
      </c>
      <c r="P44" s="46">
        <f>IF(F44="",0,IF(OR(J44="Mut+ext",VLOOKUP(F44,Paramétrage!$C$6:$E$27,2,0)=0),0,IF(I44="","saisir capacité",G44*O44*VLOOKUP(F44,Paramétrage!$C$6:$E$27,2,0))))</f>
        <v>0</v>
      </c>
      <c r="Q44" s="68"/>
      <c r="R44" s="44">
        <f t="shared" si="13"/>
        <v>0</v>
      </c>
      <c r="S44" s="61">
        <f>IF(F44="",0,IF(ISERROR(Q44+P44*VLOOKUP(F44,Paramétrage!$C$6:$E$27,3,0))=TRUE,R44,Q44+P44*VLOOKUP(F44,Paramétrage!$C$6:$E$27,3,0)))</f>
        <v>0</v>
      </c>
      <c r="T44" s="72"/>
      <c r="U44" s="72"/>
      <c r="V44" s="72"/>
      <c r="W44" s="72"/>
      <c r="X44" s="431">
        <f t="shared" si="10"/>
        <v>0</v>
      </c>
      <c r="Y44" s="458"/>
      <c r="Z44" s="459"/>
      <c r="AA44" s="460"/>
      <c r="AB44" s="60">
        <f>IF(B44="",0,IF(D44="",0,IF(SUMIF(B41:B72,B44,H41:H72)=0,0,IF(D44="Obligatoire",AC44/H44,IF(E44="",AC44/SUMIF(B41:B72,B44,H41:H72),AC44/(SUMIF(B41:B72,B44,H41:H72)/E44))))))</f>
        <v>0</v>
      </c>
      <c r="AC44" s="45">
        <f t="shared" si="14"/>
        <v>0</v>
      </c>
    </row>
    <row r="45" spans="1:29" x14ac:dyDescent="0.25">
      <c r="A45" s="490"/>
      <c r="B45" s="95"/>
      <c r="C45" s="64"/>
      <c r="D45" s="87"/>
      <c r="E45" s="65"/>
      <c r="F45" s="66"/>
      <c r="G45" s="77"/>
      <c r="H45" s="72"/>
      <c r="I45" s="82"/>
      <c r="J45" s="69"/>
      <c r="K45" s="459"/>
      <c r="L45" s="459"/>
      <c r="M45" s="459"/>
      <c r="N45" s="461"/>
      <c r="O45" s="427" t="str">
        <f>IF(OR(I45="",F45=Paramétrage!$C$9,F45=Paramétrage!$C$12,F45=Paramétrage!$C$15,F45=Paramétrage!$C$18,F45=[1]Paramétrage!$C$23,F45=Paramétrage!$C$25,J45="Mut+ext"),"",ROUNDUP(H45/I45,0))</f>
        <v/>
      </c>
      <c r="P45" s="46">
        <f>IF(F45="",0,IF(OR(J45="Mut+ext",VLOOKUP(F45,Paramétrage!$C$6:$E$27,2,0)=0),0,IF(I45="","saisir capacité",G45*O45*VLOOKUP(F45,Paramétrage!$C$6:$E$27,2,0))))</f>
        <v>0</v>
      </c>
      <c r="Q45" s="68"/>
      <c r="R45" s="44">
        <f t="shared" si="13"/>
        <v>0</v>
      </c>
      <c r="S45" s="61">
        <f>IF(F45="",0,IF(ISERROR(Q45+P45*VLOOKUP(F45,Paramétrage!$C$6:$E$27,3,0))=TRUE,R45,Q45+P45*VLOOKUP(F45,Paramétrage!$C$6:$E$27,3,0)))</f>
        <v>0</v>
      </c>
      <c r="T45" s="72"/>
      <c r="U45" s="72"/>
      <c r="V45" s="72"/>
      <c r="W45" s="72"/>
      <c r="X45" s="431">
        <f t="shared" si="10"/>
        <v>0</v>
      </c>
      <c r="Y45" s="458"/>
      <c r="Z45" s="459"/>
      <c r="AA45" s="460"/>
      <c r="AB45" s="60">
        <f>IF(B45="",0,IF(D45="",0,IF(SUMIF(B44:B73,B45,H44:H73)=0,0,IF(D45="Obligatoire",AC45/H45,IF(E45="",AC45/SUMIF(B44:B73,B45,H44:H73),AC45/(SUMIF(B44:B73,B45,H44:H73)/E45))))))</f>
        <v>0</v>
      </c>
      <c r="AC45" s="45">
        <f t="shared" si="14"/>
        <v>0</v>
      </c>
    </row>
    <row r="46" spans="1:29" x14ac:dyDescent="0.25">
      <c r="A46" s="490"/>
      <c r="B46" s="95"/>
      <c r="C46" s="64"/>
      <c r="D46" s="87"/>
      <c r="E46" s="65"/>
      <c r="F46" s="66"/>
      <c r="G46" s="77"/>
      <c r="H46" s="72"/>
      <c r="I46" s="82"/>
      <c r="J46" s="69"/>
      <c r="K46" s="459"/>
      <c r="L46" s="459"/>
      <c r="M46" s="459"/>
      <c r="N46" s="461"/>
      <c r="O46" s="427" t="str">
        <f>IF(OR(I46="",F46=Paramétrage!$C$9,F46=Paramétrage!$C$12,F46=Paramétrage!$C$15,F46=Paramétrage!$C$18,F46=[1]Paramétrage!$C$23,F46=Paramétrage!$C$25,J46="Mut+ext"),"",ROUNDUP(H46/I46,0))</f>
        <v/>
      </c>
      <c r="P46" s="46">
        <f>IF(F46="",0,IF(OR(J46="Mut+ext",VLOOKUP(F46,Paramétrage!$C$6:$E$27,2,0)=0),0,IF(I46="","saisir capacité",G46*O46*VLOOKUP(F46,Paramétrage!$C$6:$E$27,2,0))))</f>
        <v>0</v>
      </c>
      <c r="Q46" s="68"/>
      <c r="R46" s="44">
        <f t="shared" si="13"/>
        <v>0</v>
      </c>
      <c r="S46" s="61">
        <f>IF(F46="",0,IF(ISERROR(Q46+P46*VLOOKUP(F46,Paramétrage!$C$6:$E$27,3,0))=TRUE,R46,Q46+P46*VLOOKUP(F46,Paramétrage!$C$6:$E$27,3,0)))</f>
        <v>0</v>
      </c>
      <c r="T46" s="72"/>
      <c r="U46" s="72"/>
      <c r="V46" s="72"/>
      <c r="W46" s="72"/>
      <c r="X46" s="431">
        <f t="shared" si="10"/>
        <v>0</v>
      </c>
      <c r="Y46" s="458"/>
      <c r="Z46" s="459"/>
      <c r="AA46" s="460"/>
      <c r="AB46" s="60">
        <f>IF(B46="",0,IF(D46="",0,IF(SUMIF(B45:B74,B46,H45:H74)=0,0,IF(D46="Obligatoire",AC46/H46,IF(E46="",AC46/SUMIF(B45:B74,B46,H45:H74),AC46/(SUMIF(B45:B74,B46,H45:H74)/E46))))))</f>
        <v>0</v>
      </c>
      <c r="AC46" s="45">
        <f t="shared" si="14"/>
        <v>0</v>
      </c>
    </row>
    <row r="47" spans="1:29" x14ac:dyDescent="0.25">
      <c r="A47" s="490"/>
      <c r="B47" s="95"/>
      <c r="C47" s="64"/>
      <c r="D47" s="87"/>
      <c r="E47" s="65"/>
      <c r="F47" s="66"/>
      <c r="G47" s="77"/>
      <c r="H47" s="72"/>
      <c r="I47" s="82"/>
      <c r="J47" s="69"/>
      <c r="K47" s="459"/>
      <c r="L47" s="459"/>
      <c r="M47" s="459"/>
      <c r="N47" s="461"/>
      <c r="O47" s="427" t="str">
        <f>IF(OR(I47="",F47=Paramétrage!$C$9,F47=Paramétrage!$C$12,F47=Paramétrage!$C$15,F47=Paramétrage!$C$18,F47=[1]Paramétrage!$C$23,F47=Paramétrage!$C$25,J47="Mut+ext"),"",ROUNDUP(H47/I47,0))</f>
        <v/>
      </c>
      <c r="P47" s="46">
        <f>IF(F47="",0,IF(OR(J47="Mut+ext",VLOOKUP(F47,Paramétrage!$C$6:$E$27,2,0)=0),0,IF(I47="","saisir capacité",G47*O47*VLOOKUP(F47,Paramétrage!$C$6:$E$27,2,0))))</f>
        <v>0</v>
      </c>
      <c r="Q47" s="68"/>
      <c r="R47" s="44">
        <f t="shared" si="11"/>
        <v>0</v>
      </c>
      <c r="S47" s="61">
        <f>IF(F47="",0,IF(ISERROR(Q47+P47*VLOOKUP(F47,Paramétrage!$C$6:$E$27,3,0))=TRUE,R47,Q47+P47*VLOOKUP(F47,Paramétrage!$C$6:$E$27,3,0)))</f>
        <v>0</v>
      </c>
      <c r="T47" s="72"/>
      <c r="U47" s="72"/>
      <c r="V47" s="72"/>
      <c r="W47" s="72"/>
      <c r="X47" s="431">
        <f t="shared" si="10"/>
        <v>0</v>
      </c>
      <c r="Y47" s="458"/>
      <c r="Z47" s="459"/>
      <c r="AA47" s="460"/>
      <c r="AB47" s="60">
        <f>IF(B47="",0,IF(D47="",0,IF(SUMIF(B39:B58,B47,H39:H58)=0,0,IF(D47="Obligatoire",AC47/H47,IF(E47="",AC47/SUMIF(B39:B58,B47,H39:H58),AC47/(SUMIF(B39:B58,B47,H39:H58)/E47))))))</f>
        <v>0</v>
      </c>
      <c r="AC47" s="45">
        <f t="shared" si="12"/>
        <v>0</v>
      </c>
    </row>
    <row r="48" spans="1:29" x14ac:dyDescent="0.25">
      <c r="A48" s="490"/>
      <c r="B48" s="95"/>
      <c r="C48" s="64"/>
      <c r="D48" s="87"/>
      <c r="E48" s="65"/>
      <c r="F48" s="66"/>
      <c r="G48" s="77"/>
      <c r="H48" s="72"/>
      <c r="I48" s="82"/>
      <c r="J48" s="69"/>
      <c r="K48" s="459"/>
      <c r="L48" s="459"/>
      <c r="M48" s="459"/>
      <c r="N48" s="461"/>
      <c r="O48" s="427" t="str">
        <f>IF(OR(I48="",F48=Paramétrage!$C$9,F48=Paramétrage!$C$12,F48=Paramétrage!$C$15,F48=Paramétrage!$C$18,F48=[1]Paramétrage!$C$23,F48=Paramétrage!$C$25,J48="Mut+ext"),"",ROUNDUP(H48/I48,0))</f>
        <v/>
      </c>
      <c r="P48" s="46">
        <f>IF(F48="",0,IF(OR(J48="Mut+ext",VLOOKUP(F48,Paramétrage!$C$6:$E$27,2,0)=0),0,IF(I48="","saisir capacité",G48*O48*VLOOKUP(F48,Paramétrage!$C$6:$E$27,2,0))))</f>
        <v>0</v>
      </c>
      <c r="Q48" s="68"/>
      <c r="R48" s="44">
        <f t="shared" si="11"/>
        <v>0</v>
      </c>
      <c r="S48" s="61">
        <f>IF(F48="",0,IF(ISERROR(Q48+P48*VLOOKUP(F48,Paramétrage!$C$6:$E$27,3,0))=TRUE,R48,Q48+P48*VLOOKUP(F48,Paramétrage!$C$6:$E$27,3,0)))</f>
        <v>0</v>
      </c>
      <c r="T48" s="72"/>
      <c r="U48" s="72"/>
      <c r="V48" s="72"/>
      <c r="W48" s="72"/>
      <c r="X48" s="431">
        <f t="shared" si="10"/>
        <v>0</v>
      </c>
      <c r="Y48" s="458"/>
      <c r="Z48" s="459"/>
      <c r="AA48" s="460"/>
      <c r="AB48" s="60">
        <f t="shared" ref="AB48" si="17">IF(B48="",0,IF(D48="",0,IF(SUMIF(B47:B59,B48,H47:H59)=0,0,IF(D48="Obligatoire",AC48/H48,IF(E48="",AC48/SUMIF(B47:B59,B48,H47:H59),AC48/(SUMIF(B47:B59,B48,H47:H59)/E48))))))</f>
        <v>0</v>
      </c>
      <c r="AC48" s="45">
        <f t="shared" si="12"/>
        <v>0</v>
      </c>
    </row>
    <row r="49" spans="1:29" x14ac:dyDescent="0.25">
      <c r="A49" s="490"/>
      <c r="B49" s="95"/>
      <c r="C49" s="64"/>
      <c r="D49" s="87"/>
      <c r="E49" s="65"/>
      <c r="F49" s="66"/>
      <c r="G49" s="77"/>
      <c r="H49" s="72"/>
      <c r="I49" s="82"/>
      <c r="J49" s="69"/>
      <c r="K49" s="459"/>
      <c r="L49" s="459"/>
      <c r="M49" s="459"/>
      <c r="N49" s="461"/>
      <c r="O49" s="427" t="str">
        <f>IF(OR(I49="",F49=Paramétrage!$C$9,F49=Paramétrage!$C$12,F49=Paramétrage!$C$15,F49=Paramétrage!$C$18,F49=[1]Paramétrage!$C$23,F49=Paramétrage!$C$25,J49="Mut+ext"),"",ROUNDUP(H49/I49,0))</f>
        <v/>
      </c>
      <c r="P49" s="46">
        <f>IF(F49="",0,IF(OR(J49="Mut+ext",VLOOKUP(F49,Paramétrage!$C$6:$E$27,2,0)=0),0,IF(I49="","saisir capacité",G49*O49*VLOOKUP(F49,Paramétrage!$C$6:$E$27,2,0))))</f>
        <v>0</v>
      </c>
      <c r="Q49" s="68"/>
      <c r="R49" s="44">
        <f t="shared" si="11"/>
        <v>0</v>
      </c>
      <c r="S49" s="61">
        <f>IF(F49="",0,IF(ISERROR(Q49+P49*VLOOKUP(F49,Paramétrage!$C$6:$E$27,3,0))=TRUE,R49,Q49+P49*VLOOKUP(F49,Paramétrage!$C$6:$E$27,3,0)))</f>
        <v>0</v>
      </c>
      <c r="T49" s="72"/>
      <c r="U49" s="72"/>
      <c r="V49" s="72"/>
      <c r="W49" s="72"/>
      <c r="X49" s="431">
        <f t="shared" si="10"/>
        <v>0</v>
      </c>
      <c r="Y49" s="458"/>
      <c r="Z49" s="459"/>
      <c r="AA49" s="460"/>
      <c r="AB49" s="60">
        <f>IF(B49="",0,IF(D49="",0,IF(SUMIF(B48:B72,B49,H48:H72)=0,0,IF(D49="Obligatoire",AC49/H49,IF(E49="",AC49/SUMIF(B48:B72,B49,H48:H72),AC49/(SUMIF(B48:B72,B49,H48:H72)/E49))))))</f>
        <v>0</v>
      </c>
      <c r="AC49" s="45">
        <f t="shared" si="12"/>
        <v>0</v>
      </c>
    </row>
    <row r="50" spans="1:29" x14ac:dyDescent="0.25">
      <c r="A50" s="490"/>
      <c r="B50" s="95"/>
      <c r="C50" s="64"/>
      <c r="D50" s="87"/>
      <c r="E50" s="65"/>
      <c r="F50" s="66"/>
      <c r="G50" s="77"/>
      <c r="H50" s="72"/>
      <c r="I50" s="82"/>
      <c r="J50" s="69"/>
      <c r="K50" s="459"/>
      <c r="L50" s="459"/>
      <c r="M50" s="459"/>
      <c r="N50" s="461"/>
      <c r="O50" s="427" t="str">
        <f>IF(OR(I50="",F50=Paramétrage!$C$9,F50=Paramétrage!$C$12,F50=Paramétrage!$C$15,F50=Paramétrage!$C$18,F50=[1]Paramétrage!$C$23,F50=Paramétrage!$C$25,J50="Mut+ext"),"",ROUNDUP(H50/I50,0))</f>
        <v/>
      </c>
      <c r="P50" s="46">
        <f>IF(F50="",0,IF(OR(J50="Mut+ext",VLOOKUP(F50,Paramétrage!$C$6:$E$27,2,0)=0),0,IF(I50="","saisir capacité",G50*O50*VLOOKUP(F50,Paramétrage!$C$6:$E$27,2,0))))</f>
        <v>0</v>
      </c>
      <c r="Q50" s="68"/>
      <c r="R50" s="44">
        <f t="shared" si="11"/>
        <v>0</v>
      </c>
      <c r="S50" s="61">
        <f>IF(F50="",0,IF(ISERROR(Q50+P50*VLOOKUP(F50,Paramétrage!$C$6:$E$27,3,0))=TRUE,R50,Q50+P50*VLOOKUP(F50,Paramétrage!$C$6:$E$27,3,0)))</f>
        <v>0</v>
      </c>
      <c r="T50" s="72"/>
      <c r="U50" s="72"/>
      <c r="V50" s="72"/>
      <c r="W50" s="72"/>
      <c r="X50" s="431">
        <f t="shared" si="10"/>
        <v>0</v>
      </c>
      <c r="Y50" s="458"/>
      <c r="Z50" s="459"/>
      <c r="AA50" s="460"/>
      <c r="AB50" s="60">
        <f>IF(B50="",0,IF(D50="",0,IF(SUMIF(B49:B73,B50,H49:H73)=0,0,IF(D50="Obligatoire",AC50/H50,IF(E50="",AC50/SUMIF(B49:B73,B50,H49:H73),AC50/(SUMIF(B49:B73,B50,H49:H73)/E50))))))</f>
        <v>0</v>
      </c>
      <c r="AC50" s="45">
        <f t="shared" si="12"/>
        <v>0</v>
      </c>
    </row>
    <row r="51" spans="1:29" x14ac:dyDescent="0.25">
      <c r="A51" s="490"/>
      <c r="B51" s="95"/>
      <c r="C51" s="64"/>
      <c r="D51" s="87"/>
      <c r="E51" s="65"/>
      <c r="F51" s="66"/>
      <c r="G51" s="77"/>
      <c r="H51" s="72"/>
      <c r="I51" s="82"/>
      <c r="J51" s="69"/>
      <c r="K51" s="459"/>
      <c r="L51" s="459"/>
      <c r="M51" s="459"/>
      <c r="N51" s="461"/>
      <c r="O51" s="427" t="str">
        <f>IF(OR(I51="",F51=Paramétrage!$C$9,F51=Paramétrage!$C$12,F51=Paramétrage!$C$15,F51=Paramétrage!$C$18,F51=[1]Paramétrage!$C$23,F51=Paramétrage!$C$25,J51="Mut+ext"),"",ROUNDUP(H51/I51,0))</f>
        <v/>
      </c>
      <c r="P51" s="46">
        <f>IF(F51="",0,IF(OR(J51="Mut+ext",VLOOKUP(F51,Paramétrage!$C$6:$E$27,2,0)=0),0,IF(I51="","saisir capacité",G51*O51*VLOOKUP(F51,Paramétrage!$C$6:$E$27,2,0))))</f>
        <v>0</v>
      </c>
      <c r="Q51" s="68"/>
      <c r="R51" s="44">
        <f t="shared" si="11"/>
        <v>0</v>
      </c>
      <c r="S51" s="61">
        <f>IF(F51="",0,IF(ISERROR(Q51+P51*VLOOKUP(F51,Paramétrage!$C$6:$E$27,3,0))=TRUE,R51,Q51+P51*VLOOKUP(F51,Paramétrage!$C$6:$E$27,3,0)))</f>
        <v>0</v>
      </c>
      <c r="T51" s="72"/>
      <c r="U51" s="72"/>
      <c r="V51" s="72"/>
      <c r="W51" s="72"/>
      <c r="X51" s="431">
        <f t="shared" si="10"/>
        <v>0</v>
      </c>
      <c r="Y51" s="458"/>
      <c r="Z51" s="459"/>
      <c r="AA51" s="460"/>
      <c r="AB51" s="60">
        <f>IF(B51="",0,IF(D51="",0,IF(SUMIF(B37:B56,B51,H37:H56)=0,0,IF(D51="Obligatoire",AC51/H51,IF(E51="",AC51/SUMIF(B37:B56,B51,H37:H56),AC51/(SUMIF(B37:B56,B51,H37:H56)/E51))))))</f>
        <v>0</v>
      </c>
      <c r="AC51" s="45">
        <f t="shared" ref="AC51:AC56" si="18">G51*H51</f>
        <v>0</v>
      </c>
    </row>
    <row r="52" spans="1:29" x14ac:dyDescent="0.25">
      <c r="A52" s="490"/>
      <c r="B52" s="96"/>
      <c r="C52" s="64"/>
      <c r="D52" s="87"/>
      <c r="E52" s="65"/>
      <c r="F52" s="66"/>
      <c r="G52" s="77"/>
      <c r="H52" s="72"/>
      <c r="I52" s="82"/>
      <c r="J52" s="69"/>
      <c r="K52" s="459"/>
      <c r="L52" s="459"/>
      <c r="M52" s="459"/>
      <c r="N52" s="461"/>
      <c r="O52" s="427" t="str">
        <f>IF(OR(I52="",F52=Paramétrage!$C$9,F52=Paramétrage!$C$12,F52=Paramétrage!$C$15,F52=Paramétrage!$C$18,F52=[1]Paramétrage!$C$23,F52=Paramétrage!$C$25,J52="Mut+ext"),"",ROUNDUP(H52/I52,0))</f>
        <v/>
      </c>
      <c r="P52" s="46">
        <f>IF(F52="",0,IF(OR(J52="Mut+ext",VLOOKUP(F52,Paramétrage!$C$6:$E$27,2,0)=0),0,IF(I52="","saisir capacité",G52*O52*VLOOKUP(F52,Paramétrage!$C$6:$E$27,2,0))))</f>
        <v>0</v>
      </c>
      <c r="Q52" s="68"/>
      <c r="R52" s="44">
        <f t="shared" si="11"/>
        <v>0</v>
      </c>
      <c r="S52" s="61">
        <f>IF(F52="",0,IF(ISERROR(Q52+P52*VLOOKUP(F52,Paramétrage!$C$6:$E$27,3,0))=TRUE,R52,Q52+P52*VLOOKUP(F52,Paramétrage!$C$6:$E$27,3,0)))</f>
        <v>0</v>
      </c>
      <c r="T52" s="72"/>
      <c r="U52" s="72"/>
      <c r="V52" s="72"/>
      <c r="W52" s="72"/>
      <c r="X52" s="431">
        <f t="shared" si="10"/>
        <v>0</v>
      </c>
      <c r="Y52" s="458"/>
      <c r="Z52" s="459"/>
      <c r="AA52" s="460"/>
      <c r="AB52" s="60">
        <f>IF(B52="",0,IF(D52="",0,IF(SUMIF(B37:B56,B52,H37:H56)=0,0,IF(D52="Obligatoire",AC52/H52,IF(E52="",AC52/SUMIF(B37:B56,B52,H37:H56),AC52/(SUMIF(B37:B56,B52,H37:H56)/E52))))))</f>
        <v>0</v>
      </c>
      <c r="AC52" s="45">
        <f t="shared" si="18"/>
        <v>0</v>
      </c>
    </row>
    <row r="53" spans="1:29" x14ac:dyDescent="0.25">
      <c r="A53" s="490"/>
      <c r="B53" s="95"/>
      <c r="C53" s="64"/>
      <c r="D53" s="87"/>
      <c r="E53" s="65"/>
      <c r="F53" s="66"/>
      <c r="G53" s="77"/>
      <c r="H53" s="72"/>
      <c r="I53" s="82"/>
      <c r="J53" s="69"/>
      <c r="K53" s="459"/>
      <c r="L53" s="459"/>
      <c r="M53" s="459"/>
      <c r="N53" s="461"/>
      <c r="O53" s="427" t="str">
        <f>IF(OR(I53="",F53=Paramétrage!$C$9,F53=Paramétrage!$C$12,F53=Paramétrage!$C$15,F53=Paramétrage!$C$18,F53=[1]Paramétrage!$C$23,F53=Paramétrage!$C$25,J53="Mut+ext"),"",ROUNDUP(H53/I53,0))</f>
        <v/>
      </c>
      <c r="P53" s="46">
        <f>IF(F53="",0,IF(OR(J53="Mut+ext",VLOOKUP(F53,Paramétrage!$C$6:$E$27,2,0)=0),0,IF(I53="","saisir capacité",G53*O53*VLOOKUP(F53,Paramétrage!$C$6:$E$27,2,0))))</f>
        <v>0</v>
      </c>
      <c r="Q53" s="68"/>
      <c r="R53" s="44">
        <f t="shared" si="9"/>
        <v>0</v>
      </c>
      <c r="S53" s="61">
        <f>IF(F53="",0,IF(ISERROR(Q53+P53*VLOOKUP(F53,Paramétrage!$C$6:$E$27,3,0))=TRUE,R53,Q53+P53*VLOOKUP(F53,Paramétrage!$C$6:$E$27,3,0)))</f>
        <v>0</v>
      </c>
      <c r="T53" s="72"/>
      <c r="U53" s="72"/>
      <c r="V53" s="72"/>
      <c r="W53" s="72"/>
      <c r="X53" s="431">
        <f t="shared" si="10"/>
        <v>0</v>
      </c>
      <c r="Y53" s="458"/>
      <c r="Z53" s="459"/>
      <c r="AA53" s="460"/>
      <c r="AB53" s="60">
        <f>IF(B53="",0,IF(D53="",0,IF(SUMIF(B37:B56,B53,H37:H56)=0,0,IF(D53="Obligatoire",AC53/H53,IF(E53="",AC53/SUMIF(B37:B56,B53,H37:H56),AC53/(SUMIF(B37:B56,B53,H37:H56)/E53))))))</f>
        <v>0</v>
      </c>
      <c r="AC53" s="45">
        <f t="shared" si="18"/>
        <v>0</v>
      </c>
    </row>
    <row r="54" spans="1:29" x14ac:dyDescent="0.25">
      <c r="A54" s="490"/>
      <c r="B54" s="95"/>
      <c r="C54" s="64"/>
      <c r="D54" s="87"/>
      <c r="E54" s="65"/>
      <c r="F54" s="66"/>
      <c r="G54" s="77"/>
      <c r="H54" s="72"/>
      <c r="I54" s="82"/>
      <c r="J54" s="69"/>
      <c r="K54" s="459"/>
      <c r="L54" s="459"/>
      <c r="M54" s="459"/>
      <c r="N54" s="461"/>
      <c r="O54" s="427" t="str">
        <f>IF(OR(I54="",F54=Paramétrage!$C$9,F54=Paramétrage!$C$12,F54=Paramétrage!$C$15,F54=Paramétrage!$C$18,F54=[1]Paramétrage!$C$23,F54=Paramétrage!$C$25,J54="Mut+ext"),"",ROUNDUP(H54/I54,0))</f>
        <v/>
      </c>
      <c r="P54" s="46">
        <f>IF(F54="",0,IF(OR(J54="Mut+ext",VLOOKUP(F54,Paramétrage!$C$6:$E$27,2,0)=0),0,IF(I54="","saisir capacité",G54*O54*VLOOKUP(F54,Paramétrage!$C$6:$E$27,2,0))))</f>
        <v>0</v>
      </c>
      <c r="Q54" s="68"/>
      <c r="R54" s="44">
        <f t="shared" si="9"/>
        <v>0</v>
      </c>
      <c r="S54" s="61">
        <f>IF(F54="",0,IF(ISERROR(Q54+P54*VLOOKUP(F54,Paramétrage!$C$6:$E$27,3,0))=TRUE,R54,Q54+P54*VLOOKUP(F54,Paramétrage!$C$6:$E$27,3,0)))</f>
        <v>0</v>
      </c>
      <c r="T54" s="74"/>
      <c r="U54" s="74"/>
      <c r="V54" s="74"/>
      <c r="W54" s="74"/>
      <c r="X54" s="431">
        <f t="shared" si="10"/>
        <v>0</v>
      </c>
      <c r="Y54" s="458"/>
      <c r="Z54" s="459"/>
      <c r="AA54" s="460"/>
      <c r="AB54" s="60">
        <f>IF(B54="",0,IF(D54="",0,IF(SUMIF(B37:B56,B54,H37:H56)=0,0,IF(D54="Obligatoire",AC54/H54,IF(E54="",AC54/SUMIF(B37:B56,B54,H37:H56),AC54/(SUMIF(B37:B56,B54,H37:H56)/E54))))))</f>
        <v>0</v>
      </c>
      <c r="AC54" s="45">
        <f t="shared" si="18"/>
        <v>0</v>
      </c>
    </row>
    <row r="55" spans="1:29" x14ac:dyDescent="0.25">
      <c r="A55" s="490"/>
      <c r="B55" s="95"/>
      <c r="C55" s="64"/>
      <c r="D55" s="87"/>
      <c r="E55" s="65"/>
      <c r="F55" s="66"/>
      <c r="G55" s="77"/>
      <c r="H55" s="72"/>
      <c r="I55" s="82"/>
      <c r="J55" s="69"/>
      <c r="K55" s="459"/>
      <c r="L55" s="459"/>
      <c r="M55" s="459"/>
      <c r="N55" s="461"/>
      <c r="O55" s="427" t="str">
        <f>IF(OR(I55="",F55=Paramétrage!$C$9,F55=Paramétrage!$C$12,F55=Paramétrage!$C$15,F55=Paramétrage!$C$18,F55=[1]Paramétrage!$C$23,F55=Paramétrage!$C$25,J55="Mut+ext"),"",ROUNDUP(H55/I55,0))</f>
        <v/>
      </c>
      <c r="P55" s="46">
        <f>IF(F55="",0,IF(OR(J55="Mut+ext",VLOOKUP(F55,Paramétrage!$C$6:$E$27,2,0)=0),0,IF(I55="","saisir capacité",G55*O55*VLOOKUP(F55,Paramétrage!$C$6:$E$27,2,0))))</f>
        <v>0</v>
      </c>
      <c r="Q55" s="68"/>
      <c r="R55" s="44">
        <f t="shared" si="9"/>
        <v>0</v>
      </c>
      <c r="S55" s="61">
        <f>IF(F55="",0,IF(ISERROR(Q55+P55*VLOOKUP(F55,Paramétrage!$C$6:$E$27,3,0))=TRUE,R55,Q55+P55*VLOOKUP(F55,Paramétrage!$C$6:$E$27,3,0)))</f>
        <v>0</v>
      </c>
      <c r="T55" s="73"/>
      <c r="U55" s="73"/>
      <c r="V55" s="73"/>
      <c r="W55" s="73"/>
      <c r="X55" s="431">
        <f t="shared" si="10"/>
        <v>0</v>
      </c>
      <c r="Y55" s="458"/>
      <c r="Z55" s="459"/>
      <c r="AA55" s="460"/>
      <c r="AB55" s="60">
        <f>IF(B55="",0,IF(D55="",0,IF(SUMIF(B37:B56,B55,H37:H56)=0,0,IF(D55="Obligatoire",AC55/H55,IF(E55="",AC55/SUMIF(B37:B56,B55,H37:H56),AC55/(SUMIF(B37:B56,B55,H37:H56)/E55))))))</f>
        <v>0</v>
      </c>
      <c r="AC55" s="45">
        <f t="shared" si="18"/>
        <v>0</v>
      </c>
    </row>
    <row r="56" spans="1:29" x14ac:dyDescent="0.25">
      <c r="A56" s="490"/>
      <c r="B56" s="95"/>
      <c r="C56" s="64"/>
      <c r="D56" s="87"/>
      <c r="E56" s="65"/>
      <c r="F56" s="66"/>
      <c r="G56" s="77"/>
      <c r="H56" s="72"/>
      <c r="I56" s="82"/>
      <c r="J56" s="69"/>
      <c r="K56" s="459"/>
      <c r="L56" s="459"/>
      <c r="M56" s="459"/>
      <c r="N56" s="461"/>
      <c r="O56" s="427" t="str">
        <f>IF(OR(I56="",F56=Paramétrage!$C$9,F56=Paramétrage!$C$12,F56=Paramétrage!$C$15,F56=Paramétrage!$C$18,F56=[1]Paramétrage!$C$23,F56=Paramétrage!$C$25,J56="Mut+ext"),"",ROUNDUP(H56/I56,0))</f>
        <v/>
      </c>
      <c r="P56" s="46">
        <f>IF(F56="",0,IF(OR(J56="Mut+ext",VLOOKUP(F56,Paramétrage!$C$6:$E$27,2,0)=0),0,IF(I56="","saisir capacité",G56*O56*VLOOKUP(F56,Paramétrage!$C$6:$E$27,2,0))))</f>
        <v>0</v>
      </c>
      <c r="Q56" s="68"/>
      <c r="R56" s="44">
        <f t="shared" si="9"/>
        <v>0</v>
      </c>
      <c r="S56" s="61">
        <f>IF(F56="",0,IF(ISERROR(Q56+P56*VLOOKUP(F56,Paramétrage!$C$6:$E$27,3,0))=TRUE,R56,Q56+P56*VLOOKUP(F56,Paramétrage!$C$6:$E$27,3,0)))</f>
        <v>0</v>
      </c>
      <c r="T56" s="72"/>
      <c r="U56" s="72"/>
      <c r="V56" s="72"/>
      <c r="W56" s="72"/>
      <c r="X56" s="431">
        <f t="shared" si="10"/>
        <v>0</v>
      </c>
      <c r="Y56" s="458"/>
      <c r="Z56" s="459"/>
      <c r="AA56" s="460"/>
      <c r="AB56" s="60">
        <f>IF(B56="",0,IF(D56="",0,IF(SUMIF(B37:B56,B56,H37:H56)=0,0,IF(D56="Obligatoire",AC56/H56,IF(E56="",AC56/SUMIF(B37:B56,B56,H37:H56),AC56/(SUMIF(B37:B56,B56,H37:H56)/E56))))))</f>
        <v>0</v>
      </c>
      <c r="AC56" s="45">
        <f t="shared" si="18"/>
        <v>0</v>
      </c>
    </row>
    <row r="57" spans="1:29" ht="16.2" thickBot="1" x14ac:dyDescent="0.3">
      <c r="A57" s="489"/>
      <c r="B57" s="97"/>
      <c r="C57" s="114"/>
      <c r="D57" s="49"/>
      <c r="E57" s="50"/>
      <c r="F57" s="47"/>
      <c r="G57" s="84">
        <f>AB57</f>
        <v>0</v>
      </c>
      <c r="H57" s="78"/>
      <c r="I57" s="83"/>
      <c r="J57" s="89"/>
      <c r="K57" s="106"/>
      <c r="L57" s="106"/>
      <c r="M57" s="106"/>
      <c r="N57" s="107"/>
      <c r="O57" s="51"/>
      <c r="P57" s="108">
        <f>SUM(P37:P56)</f>
        <v>0</v>
      </c>
      <c r="Q57" s="47">
        <f>SUM(Q37:Q56)</f>
        <v>0</v>
      </c>
      <c r="R57" s="52">
        <f t="shared" ref="R57" si="19">P57+Q57</f>
        <v>0</v>
      </c>
      <c r="S57" s="115">
        <f>SUM(S37:S56)</f>
        <v>0</v>
      </c>
      <c r="T57" s="416"/>
      <c r="U57" s="416"/>
      <c r="V57" s="416"/>
      <c r="W57" s="416"/>
      <c r="X57" s="433"/>
      <c r="Y57" s="111"/>
      <c r="Z57" s="111"/>
      <c r="AA57" s="116"/>
      <c r="AB57" s="113">
        <f>SUM(AB37:AB56)</f>
        <v>0</v>
      </c>
      <c r="AC57" s="59">
        <f>SUM(AC37:AC56)</f>
        <v>0</v>
      </c>
    </row>
    <row r="58" spans="1:29" ht="14.4" customHeight="1" x14ac:dyDescent="0.25">
      <c r="A58" s="488" t="s">
        <v>121</v>
      </c>
      <c r="B58" s="94"/>
      <c r="C58" s="98"/>
      <c r="D58" s="86"/>
      <c r="E58" s="62"/>
      <c r="F58" s="63"/>
      <c r="G58" s="76"/>
      <c r="H58" s="71"/>
      <c r="I58" s="99"/>
      <c r="J58" s="88"/>
      <c r="K58" s="463"/>
      <c r="L58" s="463"/>
      <c r="M58" s="463"/>
      <c r="N58" s="475"/>
      <c r="O58" s="427" t="str">
        <f>IF(OR(I58="",F58=Paramétrage!$C$9,F58=Paramétrage!$C$12,F58=Paramétrage!$C$15,F58=Paramétrage!$C$18,F58=[1]Paramétrage!$C$23,F58=Paramétrage!$C$25,J58="Mut+ext"),"",ROUNDUP(H58/I58,0))</f>
        <v/>
      </c>
      <c r="P58" s="100">
        <f>IF(F58="",0,IF(OR(J58="Mut+ext",VLOOKUP(F58,Paramétrage!$C$6:$E$27,2,0)=0),0,IF(I58="","saisir capacité",G58*O58*VLOOKUP(F58,Paramétrage!$C$6:$E$27,2,0))))</f>
        <v>0</v>
      </c>
      <c r="Q58" s="101"/>
      <c r="R58" s="102">
        <f t="shared" ref="R58:R77" si="20">IF(ISERROR(P58+Q58)=TRUE,P58,P58+Q58)</f>
        <v>0</v>
      </c>
      <c r="S58" s="103">
        <f>IF(F58="",0,IF(ISERROR(Q58+P58*VLOOKUP(F58,Paramétrage!$C$6:$E$27,3,0))=TRUE,R58,Q58+P58*VLOOKUP(F58,Paramétrage!$C$6:$E$27,3,0)))</f>
        <v>0</v>
      </c>
      <c r="T58" s="71"/>
      <c r="U58" s="71"/>
      <c r="V58" s="71"/>
      <c r="W58" s="71"/>
      <c r="X58" s="430">
        <f>SUM(T58:W58)</f>
        <v>0</v>
      </c>
      <c r="Y58" s="462"/>
      <c r="Z58" s="463"/>
      <c r="AA58" s="464"/>
      <c r="AB58" s="104">
        <f>IF(B58="",0,IF(D58="",0,IF(SUMIF(B58:B77,B58,H58:H77)=0,0,IF(D58="Obligatoire",AC58/H58,IF(E58="",AC58/SUMIF(B58:B77,B58,H58:H77),AC58/(SUMIF(B58:B77,B58,H58:H77)/E58))))))</f>
        <v>0</v>
      </c>
      <c r="AC58" s="105">
        <f>G58*H58</f>
        <v>0</v>
      </c>
    </row>
    <row r="59" spans="1:29" x14ac:dyDescent="0.25">
      <c r="A59" s="490"/>
      <c r="B59" s="95"/>
      <c r="C59" s="64"/>
      <c r="D59" s="87"/>
      <c r="E59" s="65"/>
      <c r="F59" s="66"/>
      <c r="G59" s="77"/>
      <c r="H59" s="72"/>
      <c r="I59" s="82"/>
      <c r="J59" s="69"/>
      <c r="K59" s="459"/>
      <c r="L59" s="459"/>
      <c r="M59" s="459"/>
      <c r="N59" s="461"/>
      <c r="O59" s="427" t="str">
        <f>IF(OR(I59="",F59=Paramétrage!$C$9,F59=Paramétrage!$C$12,F59=Paramétrage!$C$15,F59=Paramétrage!$C$18,F59=[1]Paramétrage!$C$23,F59=Paramétrage!$C$25,J59="Mut+ext"),"",ROUNDUP(H59/I59,0))</f>
        <v/>
      </c>
      <c r="P59" s="46">
        <f>IF(F59="",0,IF(OR(J59="Mut+ext",VLOOKUP(F59,Paramétrage!$C$6:$E$27,2,0)=0),0,IF(I59="","saisir capacité",G59*O59*VLOOKUP(F59,Paramétrage!$C$6:$E$27,2,0))))</f>
        <v>0</v>
      </c>
      <c r="Q59" s="68"/>
      <c r="R59" s="44">
        <f t="shared" si="20"/>
        <v>0</v>
      </c>
      <c r="S59" s="61">
        <f>IF(F59="",0,IF(ISERROR(Q59+P59*VLOOKUP(F59,Paramétrage!$C$6:$E$27,3,0))=TRUE,R59,Q59+P59*VLOOKUP(F59,Paramétrage!$C$6:$E$27,3,0)))</f>
        <v>0</v>
      </c>
      <c r="T59" s="72"/>
      <c r="U59" s="72"/>
      <c r="V59" s="72"/>
      <c r="W59" s="72"/>
      <c r="X59" s="431">
        <f t="shared" ref="X59:X77" si="21">SUM(T59:W59)</f>
        <v>0</v>
      </c>
      <c r="Y59" s="458"/>
      <c r="Z59" s="459"/>
      <c r="AA59" s="460"/>
      <c r="AB59" s="60">
        <f>IF(B59="",0,IF(D59="",0,IF(SUMIF(B58:B77,B59,H58:H77)=0,0,IF(D59="Obligatoire",AC59/H59,IF(E59="",AC59/SUMIF(B58:B77,B59,H58:H77),AC59/(SUMIF(B58:B77,B59,H58:H77)/E59))))))</f>
        <v>0</v>
      </c>
      <c r="AC59" s="45">
        <f>G59*H59</f>
        <v>0</v>
      </c>
    </row>
    <row r="60" spans="1:29" x14ac:dyDescent="0.25">
      <c r="A60" s="490"/>
      <c r="B60" s="95"/>
      <c r="C60" s="64"/>
      <c r="D60" s="87"/>
      <c r="E60" s="65"/>
      <c r="F60" s="66"/>
      <c r="G60" s="77"/>
      <c r="H60" s="72"/>
      <c r="I60" s="82"/>
      <c r="J60" s="69"/>
      <c r="K60" s="459"/>
      <c r="L60" s="459"/>
      <c r="M60" s="459"/>
      <c r="N60" s="461"/>
      <c r="O60" s="427" t="str">
        <f>IF(OR(I60="",F60=Paramétrage!$C$9,F60=Paramétrage!$C$12,F60=Paramétrage!$C$15,F60=Paramétrage!$C$18,F60=[1]Paramétrage!$C$23,F60=Paramétrage!$C$25,J60="Mut+ext"),"",ROUNDUP(H60/I60,0))</f>
        <v/>
      </c>
      <c r="P60" s="46">
        <f>IF(F60="",0,IF(OR(J60="Mut+ext",VLOOKUP(F60,Paramétrage!$C$6:$E$27,2,0)=0),0,IF(I60="","saisir capacité",G60*O60*VLOOKUP(F60,Paramétrage!$C$6:$E$27,2,0))))</f>
        <v>0</v>
      </c>
      <c r="Q60" s="68"/>
      <c r="R60" s="44">
        <f t="shared" ref="R60:R71" si="22">IF(ISERROR(P60+Q60)=TRUE,P60,P60+Q60)</f>
        <v>0</v>
      </c>
      <c r="S60" s="61">
        <f>IF(F60="",0,IF(ISERROR(Q60+P60*VLOOKUP(F60,Paramétrage!$C$6:$E$27,3,0))=TRUE,R60,Q60+P60*VLOOKUP(F60,Paramétrage!$C$6:$E$27,3,0)))</f>
        <v>0</v>
      </c>
      <c r="T60" s="72"/>
      <c r="U60" s="72"/>
      <c r="V60" s="72"/>
      <c r="W60" s="72"/>
      <c r="X60" s="431">
        <f t="shared" si="21"/>
        <v>0</v>
      </c>
      <c r="Y60" s="458"/>
      <c r="Z60" s="459"/>
      <c r="AA60" s="460"/>
      <c r="AB60" s="60">
        <f t="shared" ref="AB60:AB63" si="23">IF(B60="",0,IF(D60="",0,IF(SUMIF(B59:B78,B60,H59:H78)=0,0,IF(D60="Obligatoire",AC60/H60,IF(E60="",AC60/SUMIF(B59:B78,B60,H59:H78),AC60/(SUMIF(B59:B78,B60,H59:H78)/E60))))))</f>
        <v>0</v>
      </c>
      <c r="AC60" s="45">
        <f t="shared" ref="AC60:AC71" si="24">G60*H60</f>
        <v>0</v>
      </c>
    </row>
    <row r="61" spans="1:29" x14ac:dyDescent="0.25">
      <c r="A61" s="490"/>
      <c r="B61" s="95"/>
      <c r="C61" s="64"/>
      <c r="D61" s="87"/>
      <c r="E61" s="65"/>
      <c r="F61" s="66"/>
      <c r="G61" s="77"/>
      <c r="H61" s="72"/>
      <c r="I61" s="82"/>
      <c r="J61" s="69"/>
      <c r="K61" s="459"/>
      <c r="L61" s="459"/>
      <c r="M61" s="459"/>
      <c r="N61" s="461"/>
      <c r="O61" s="427" t="str">
        <f>IF(OR(I61="",F61=Paramétrage!$C$9,F61=Paramétrage!$C$12,F61=Paramétrage!$C$15,F61=Paramétrage!$C$18,F61=[1]Paramétrage!$C$23,F61=Paramétrage!$C$25,J61="Mut+ext"),"",ROUNDUP(H61/I61,0))</f>
        <v/>
      </c>
      <c r="P61" s="46">
        <f>IF(F61="",0,IF(OR(J61="Mut+ext",VLOOKUP(F61,Paramétrage!$C$6:$E$27,2,0)=0),0,IF(I61="","saisir capacité",G61*O61*VLOOKUP(F61,Paramétrage!$C$6:$E$27,2,0))))</f>
        <v>0</v>
      </c>
      <c r="Q61" s="68"/>
      <c r="R61" s="44">
        <f t="shared" si="22"/>
        <v>0</v>
      </c>
      <c r="S61" s="61">
        <f>IF(F61="",0,IF(ISERROR(Q61+P61*VLOOKUP(F61,Paramétrage!$C$6:$E$27,3,0))=TRUE,R61,Q61+P61*VLOOKUP(F61,Paramétrage!$C$6:$E$27,3,0)))</f>
        <v>0</v>
      </c>
      <c r="T61" s="72"/>
      <c r="U61" s="72"/>
      <c r="V61" s="72"/>
      <c r="W61" s="72"/>
      <c r="X61" s="431">
        <f t="shared" si="21"/>
        <v>0</v>
      </c>
      <c r="Y61" s="458"/>
      <c r="Z61" s="459"/>
      <c r="AA61" s="460"/>
      <c r="AB61" s="60">
        <f t="shared" si="23"/>
        <v>0</v>
      </c>
      <c r="AC61" s="45">
        <f t="shared" si="24"/>
        <v>0</v>
      </c>
    </row>
    <row r="62" spans="1:29" x14ac:dyDescent="0.25">
      <c r="A62" s="490"/>
      <c r="B62" s="95"/>
      <c r="C62" s="64"/>
      <c r="D62" s="87"/>
      <c r="E62" s="65"/>
      <c r="F62" s="66"/>
      <c r="G62" s="77"/>
      <c r="H62" s="72"/>
      <c r="I62" s="82"/>
      <c r="J62" s="69"/>
      <c r="K62" s="459"/>
      <c r="L62" s="459"/>
      <c r="M62" s="459"/>
      <c r="N62" s="461"/>
      <c r="O62" s="427" t="str">
        <f>IF(OR(I62="",F62=Paramétrage!$C$9,F62=Paramétrage!$C$12,F62=Paramétrage!$C$15,F62=Paramétrage!$C$18,F62=[1]Paramétrage!$C$23,F62=Paramétrage!$C$25,J62="Mut+ext"),"",ROUNDUP(H62/I62,0))</f>
        <v/>
      </c>
      <c r="P62" s="46">
        <f>IF(F62="",0,IF(OR(J62="Mut+ext",VLOOKUP(F62,Paramétrage!$C$6:$E$27,2,0)=0),0,IF(I62="","saisir capacité",G62*O62*VLOOKUP(F62,Paramétrage!$C$6:$E$27,2,0))))</f>
        <v>0</v>
      </c>
      <c r="Q62" s="68"/>
      <c r="R62" s="44">
        <f t="shared" si="22"/>
        <v>0</v>
      </c>
      <c r="S62" s="61">
        <f>IF(F62="",0,IF(ISERROR(Q62+P62*VLOOKUP(F62,Paramétrage!$C$6:$E$27,3,0))=TRUE,R62,Q62+P62*VLOOKUP(F62,Paramétrage!$C$6:$E$27,3,0)))</f>
        <v>0</v>
      </c>
      <c r="T62" s="72"/>
      <c r="U62" s="72"/>
      <c r="V62" s="72"/>
      <c r="W62" s="72"/>
      <c r="X62" s="431">
        <f t="shared" si="21"/>
        <v>0</v>
      </c>
      <c r="Y62" s="458"/>
      <c r="Z62" s="459"/>
      <c r="AA62" s="460"/>
      <c r="AB62" s="60">
        <f t="shared" si="23"/>
        <v>0</v>
      </c>
      <c r="AC62" s="45">
        <f t="shared" si="24"/>
        <v>0</v>
      </c>
    </row>
    <row r="63" spans="1:29" x14ac:dyDescent="0.25">
      <c r="A63" s="490"/>
      <c r="B63" s="95"/>
      <c r="C63" s="64"/>
      <c r="D63" s="87"/>
      <c r="E63" s="65"/>
      <c r="F63" s="66"/>
      <c r="G63" s="77"/>
      <c r="H63" s="72"/>
      <c r="I63" s="82"/>
      <c r="J63" s="69"/>
      <c r="K63" s="459"/>
      <c r="L63" s="459"/>
      <c r="M63" s="459"/>
      <c r="N63" s="461"/>
      <c r="O63" s="427" t="str">
        <f>IF(OR(I63="",F63=Paramétrage!$C$9,F63=Paramétrage!$C$12,F63=Paramétrage!$C$15,F63=Paramétrage!$C$18,F63=[1]Paramétrage!$C$23,F63=Paramétrage!$C$25,J63="Mut+ext"),"",ROUNDUP(H63/I63,0))</f>
        <v/>
      </c>
      <c r="P63" s="46">
        <f>IF(F63="",0,IF(OR(J63="Mut+ext",VLOOKUP(F63,Paramétrage!$C$6:$E$27,2,0)=0),0,IF(I63="","saisir capacité",G63*O63*VLOOKUP(F63,Paramétrage!$C$6:$E$27,2,0))))</f>
        <v>0</v>
      </c>
      <c r="Q63" s="68"/>
      <c r="R63" s="44">
        <f t="shared" si="22"/>
        <v>0</v>
      </c>
      <c r="S63" s="61">
        <f>IF(F63="",0,IF(ISERROR(Q63+P63*VLOOKUP(F63,Paramétrage!$C$6:$E$27,3,0))=TRUE,R63,Q63+P63*VLOOKUP(F63,Paramétrage!$C$6:$E$27,3,0)))</f>
        <v>0</v>
      </c>
      <c r="T63" s="72"/>
      <c r="U63" s="72"/>
      <c r="V63" s="72"/>
      <c r="W63" s="72"/>
      <c r="X63" s="431">
        <f t="shared" si="21"/>
        <v>0</v>
      </c>
      <c r="Y63" s="458"/>
      <c r="Z63" s="459"/>
      <c r="AA63" s="460"/>
      <c r="AB63" s="60">
        <f t="shared" si="23"/>
        <v>0</v>
      </c>
      <c r="AC63" s="45">
        <f t="shared" si="24"/>
        <v>0</v>
      </c>
    </row>
    <row r="64" spans="1:29" x14ac:dyDescent="0.25">
      <c r="A64" s="490"/>
      <c r="B64" s="95"/>
      <c r="C64" s="64"/>
      <c r="D64" s="87"/>
      <c r="E64" s="65"/>
      <c r="F64" s="66"/>
      <c r="G64" s="77"/>
      <c r="H64" s="72"/>
      <c r="I64" s="82"/>
      <c r="J64" s="69"/>
      <c r="K64" s="459"/>
      <c r="L64" s="459"/>
      <c r="M64" s="459"/>
      <c r="N64" s="461"/>
      <c r="O64" s="427" t="str">
        <f>IF(OR(I64="",F64=Paramétrage!$C$9,F64=Paramétrage!$C$12,F64=Paramétrage!$C$15,F64=Paramétrage!$C$18,F64=[1]Paramétrage!$C$23,F64=Paramétrage!$C$25,J64="Mut+ext"),"",ROUNDUP(H64/I64,0))</f>
        <v/>
      </c>
      <c r="P64" s="46">
        <f>IF(F64="",0,IF(OR(J64="Mut+ext",VLOOKUP(F64,Paramétrage!$C$6:$E$27,2,0)=0),0,IF(I64="","saisir capacité",G64*O64*VLOOKUP(F64,Paramétrage!$C$6:$E$27,2,0))))</f>
        <v>0</v>
      </c>
      <c r="Q64" s="68"/>
      <c r="R64" s="44">
        <f t="shared" si="22"/>
        <v>0</v>
      </c>
      <c r="S64" s="61">
        <f>IF(F64="",0,IF(ISERROR(Q64+P64*VLOOKUP(F64,Paramétrage!$C$6:$E$27,3,0))=TRUE,R64,Q64+P64*VLOOKUP(F64,Paramétrage!$C$6:$E$27,3,0)))</f>
        <v>0</v>
      </c>
      <c r="T64" s="72"/>
      <c r="U64" s="72"/>
      <c r="V64" s="72"/>
      <c r="W64" s="72"/>
      <c r="X64" s="431">
        <f t="shared" si="21"/>
        <v>0</v>
      </c>
      <c r="Y64" s="458"/>
      <c r="Z64" s="459"/>
      <c r="AA64" s="460"/>
      <c r="AB64" s="60">
        <f t="shared" ref="AB64:AB71" si="25">IF(B64="",0,IF(D64="",0,IF(SUMIF(B63:B94,B64,H63:H94)=0,0,IF(D64="Obligatoire",AC64/H64,IF(E64="",AC64/SUMIF(B63:B94,B64,H63:H94),AC64/(SUMIF(B63:B94,B64,H63:H94)/E64))))))</f>
        <v>0</v>
      </c>
      <c r="AC64" s="45">
        <f t="shared" si="24"/>
        <v>0</v>
      </c>
    </row>
    <row r="65" spans="1:29" x14ac:dyDescent="0.25">
      <c r="A65" s="490"/>
      <c r="B65" s="95"/>
      <c r="C65" s="64"/>
      <c r="D65" s="87"/>
      <c r="E65" s="65"/>
      <c r="F65" s="66"/>
      <c r="G65" s="77"/>
      <c r="H65" s="72"/>
      <c r="I65" s="82"/>
      <c r="J65" s="69"/>
      <c r="K65" s="459"/>
      <c r="L65" s="459"/>
      <c r="M65" s="459"/>
      <c r="N65" s="461"/>
      <c r="O65" s="427" t="str">
        <f>IF(OR(I65="",F65=Paramétrage!$C$9,F65=Paramétrage!$C$12,F65=Paramétrage!$C$15,F65=Paramétrage!$C$18,F65=[1]Paramétrage!$C$23,F65=Paramétrage!$C$25,J65="Mut+ext"),"",ROUNDUP(H65/I65,0))</f>
        <v/>
      </c>
      <c r="P65" s="46">
        <f>IF(F65="",0,IF(OR(J65="Mut+ext",VLOOKUP(F65,Paramétrage!$C$6:$E$27,2,0)=0),0,IF(I65="","saisir capacité",G65*O65*VLOOKUP(F65,Paramétrage!$C$6:$E$27,2,0))))</f>
        <v>0</v>
      </c>
      <c r="Q65" s="68"/>
      <c r="R65" s="44">
        <f t="shared" si="22"/>
        <v>0</v>
      </c>
      <c r="S65" s="61">
        <f>IF(F65="",0,IF(ISERROR(Q65+P65*VLOOKUP(F65,Paramétrage!$C$6:$E$27,3,0))=TRUE,R65,Q65+P65*VLOOKUP(F65,Paramétrage!$C$6:$E$27,3,0)))</f>
        <v>0</v>
      </c>
      <c r="T65" s="72"/>
      <c r="U65" s="72"/>
      <c r="V65" s="72"/>
      <c r="W65" s="72"/>
      <c r="X65" s="431">
        <f t="shared" si="21"/>
        <v>0</v>
      </c>
      <c r="Y65" s="458"/>
      <c r="Z65" s="459"/>
      <c r="AA65" s="460"/>
      <c r="AB65" s="60">
        <f t="shared" si="25"/>
        <v>0</v>
      </c>
      <c r="AC65" s="45">
        <f t="shared" si="24"/>
        <v>0</v>
      </c>
    </row>
    <row r="66" spans="1:29" x14ac:dyDescent="0.25">
      <c r="A66" s="490"/>
      <c r="B66" s="95"/>
      <c r="C66" s="64"/>
      <c r="D66" s="87"/>
      <c r="E66" s="65"/>
      <c r="F66" s="66"/>
      <c r="G66" s="77"/>
      <c r="H66" s="72"/>
      <c r="I66" s="82"/>
      <c r="J66" s="69"/>
      <c r="K66" s="459"/>
      <c r="L66" s="459"/>
      <c r="M66" s="459"/>
      <c r="N66" s="461"/>
      <c r="O66" s="427" t="str">
        <f>IF(OR(I66="",F66=Paramétrage!$C$9,F66=Paramétrage!$C$12,F66=Paramétrage!$C$15,F66=Paramétrage!$C$18,F66=[1]Paramétrage!$C$23,F66=Paramétrage!$C$25,J66="Mut+ext"),"",ROUNDUP(H66/I66,0))</f>
        <v/>
      </c>
      <c r="P66" s="46">
        <f>IF(F66="",0,IF(OR(J66="Mut+ext",VLOOKUP(F66,Paramétrage!$C$6:$E$27,2,0)=0),0,IF(I66="","saisir capacité",G66*O66*VLOOKUP(F66,Paramétrage!$C$6:$E$27,2,0))))</f>
        <v>0</v>
      </c>
      <c r="Q66" s="68"/>
      <c r="R66" s="44">
        <f t="shared" si="22"/>
        <v>0</v>
      </c>
      <c r="S66" s="61">
        <f>IF(F66="",0,IF(ISERROR(Q66+P66*VLOOKUP(F66,Paramétrage!$C$6:$E$27,3,0))=TRUE,R66,Q66+P66*VLOOKUP(F66,Paramétrage!$C$6:$E$27,3,0)))</f>
        <v>0</v>
      </c>
      <c r="T66" s="72"/>
      <c r="U66" s="72"/>
      <c r="V66" s="72"/>
      <c r="W66" s="72"/>
      <c r="X66" s="431">
        <f t="shared" si="21"/>
        <v>0</v>
      </c>
      <c r="Y66" s="458"/>
      <c r="Z66" s="459"/>
      <c r="AA66" s="460"/>
      <c r="AB66" s="60">
        <f t="shared" si="25"/>
        <v>0</v>
      </c>
      <c r="AC66" s="45">
        <f t="shared" si="24"/>
        <v>0</v>
      </c>
    </row>
    <row r="67" spans="1:29" x14ac:dyDescent="0.25">
      <c r="A67" s="490"/>
      <c r="B67" s="95"/>
      <c r="C67" s="64"/>
      <c r="D67" s="87"/>
      <c r="E67" s="65"/>
      <c r="F67" s="66"/>
      <c r="G67" s="77"/>
      <c r="H67" s="72"/>
      <c r="I67" s="82"/>
      <c r="J67" s="69"/>
      <c r="K67" s="459"/>
      <c r="L67" s="459"/>
      <c r="M67" s="459"/>
      <c r="N67" s="461"/>
      <c r="O67" s="427" t="str">
        <f>IF(OR(I67="",F67=Paramétrage!$C$9,F67=Paramétrage!$C$12,F67=Paramétrage!$C$15,F67=Paramétrage!$C$18,F67=[1]Paramétrage!$C$23,F67=Paramétrage!$C$25,J67="Mut+ext"),"",ROUNDUP(H67/I67,0))</f>
        <v/>
      </c>
      <c r="P67" s="46">
        <f>IF(F67="",0,IF(OR(J67="Mut+ext",VLOOKUP(F67,Paramétrage!$C$6:$E$27,2,0)=0),0,IF(I67="","saisir capacité",G67*O67*VLOOKUP(F67,Paramétrage!$C$6:$E$27,2,0))))</f>
        <v>0</v>
      </c>
      <c r="Q67" s="68"/>
      <c r="R67" s="44">
        <f t="shared" si="22"/>
        <v>0</v>
      </c>
      <c r="S67" s="61">
        <f>IF(F67="",0,IF(ISERROR(Q67+P67*VLOOKUP(F67,Paramétrage!$C$6:$E$27,3,0))=TRUE,R67,Q67+P67*VLOOKUP(F67,Paramétrage!$C$6:$E$27,3,0)))</f>
        <v>0</v>
      </c>
      <c r="T67" s="72"/>
      <c r="U67" s="72"/>
      <c r="V67" s="72"/>
      <c r="W67" s="72"/>
      <c r="X67" s="431">
        <f t="shared" si="21"/>
        <v>0</v>
      </c>
      <c r="Y67" s="458"/>
      <c r="Z67" s="459"/>
      <c r="AA67" s="460"/>
      <c r="AB67" s="60">
        <f t="shared" si="25"/>
        <v>0</v>
      </c>
      <c r="AC67" s="45">
        <f t="shared" si="24"/>
        <v>0</v>
      </c>
    </row>
    <row r="68" spans="1:29" x14ac:dyDescent="0.25">
      <c r="A68" s="490"/>
      <c r="B68" s="95"/>
      <c r="C68" s="64"/>
      <c r="D68" s="87"/>
      <c r="E68" s="65"/>
      <c r="F68" s="66"/>
      <c r="G68" s="77"/>
      <c r="H68" s="72"/>
      <c r="I68" s="82"/>
      <c r="J68" s="69"/>
      <c r="K68" s="459"/>
      <c r="L68" s="459"/>
      <c r="M68" s="459"/>
      <c r="N68" s="461"/>
      <c r="O68" s="427" t="str">
        <f>IF(OR(I68="",F68=Paramétrage!$C$9,F68=Paramétrage!$C$12,F68=Paramétrage!$C$15,F68=Paramétrage!$C$18,F68=[1]Paramétrage!$C$23,F68=Paramétrage!$C$25,J68="Mut+ext"),"",ROUNDUP(H68/I68,0))</f>
        <v/>
      </c>
      <c r="P68" s="46">
        <f>IF(F68="",0,IF(OR(J68="Mut+ext",VLOOKUP(F68,Paramétrage!$C$6:$E$27,2,0)=0),0,IF(I68="","saisir capacité",G68*O68*VLOOKUP(F68,Paramétrage!$C$6:$E$27,2,0))))</f>
        <v>0</v>
      </c>
      <c r="Q68" s="68"/>
      <c r="R68" s="44">
        <f t="shared" si="22"/>
        <v>0</v>
      </c>
      <c r="S68" s="61">
        <f>IF(F68="",0,IF(ISERROR(Q68+P68*VLOOKUP(F68,Paramétrage!$C$6:$E$27,3,0))=TRUE,R68,Q68+P68*VLOOKUP(F68,Paramétrage!$C$6:$E$27,3,0)))</f>
        <v>0</v>
      </c>
      <c r="T68" s="72"/>
      <c r="U68" s="72"/>
      <c r="V68" s="72"/>
      <c r="W68" s="72"/>
      <c r="X68" s="431">
        <f t="shared" si="21"/>
        <v>0</v>
      </c>
      <c r="Y68" s="458"/>
      <c r="Z68" s="459"/>
      <c r="AA68" s="460"/>
      <c r="AB68" s="60">
        <f t="shared" si="25"/>
        <v>0</v>
      </c>
      <c r="AC68" s="45">
        <f t="shared" si="24"/>
        <v>0</v>
      </c>
    </row>
    <row r="69" spans="1:29" x14ac:dyDescent="0.25">
      <c r="A69" s="490"/>
      <c r="B69" s="95"/>
      <c r="C69" s="64"/>
      <c r="D69" s="87"/>
      <c r="E69" s="65"/>
      <c r="F69" s="66"/>
      <c r="G69" s="77"/>
      <c r="H69" s="72"/>
      <c r="I69" s="82"/>
      <c r="J69" s="69"/>
      <c r="K69" s="459"/>
      <c r="L69" s="459"/>
      <c r="M69" s="459"/>
      <c r="N69" s="461"/>
      <c r="O69" s="427" t="str">
        <f>IF(OR(I69="",F69=Paramétrage!$C$9,F69=Paramétrage!$C$12,F69=Paramétrage!$C$15,F69=Paramétrage!$C$18,F69=[1]Paramétrage!$C$23,F69=Paramétrage!$C$25,J69="Mut+ext"),"",ROUNDUP(H69/I69,0))</f>
        <v/>
      </c>
      <c r="P69" s="46">
        <f>IF(F69="",0,IF(OR(J69="Mut+ext",VLOOKUP(F69,Paramétrage!$C$6:$E$27,2,0)=0),0,IF(I69="","saisir capacité",G69*O69*VLOOKUP(F69,Paramétrage!$C$6:$E$27,2,0))))</f>
        <v>0</v>
      </c>
      <c r="Q69" s="68"/>
      <c r="R69" s="44">
        <f t="shared" si="22"/>
        <v>0</v>
      </c>
      <c r="S69" s="61">
        <f>IF(F69="",0,IF(ISERROR(Q69+P69*VLOOKUP(F69,Paramétrage!$C$6:$E$27,3,0))=TRUE,R69,Q69+P69*VLOOKUP(F69,Paramétrage!$C$6:$E$27,3,0)))</f>
        <v>0</v>
      </c>
      <c r="T69" s="72"/>
      <c r="U69" s="72"/>
      <c r="V69" s="72"/>
      <c r="W69" s="72"/>
      <c r="X69" s="431">
        <f t="shared" si="21"/>
        <v>0</v>
      </c>
      <c r="Y69" s="458"/>
      <c r="Z69" s="459"/>
      <c r="AA69" s="460"/>
      <c r="AB69" s="60">
        <f t="shared" si="25"/>
        <v>0</v>
      </c>
      <c r="AC69" s="45">
        <f t="shared" si="24"/>
        <v>0</v>
      </c>
    </row>
    <row r="70" spans="1:29" x14ac:dyDescent="0.25">
      <c r="A70" s="490"/>
      <c r="B70" s="95"/>
      <c r="C70" s="64"/>
      <c r="D70" s="87"/>
      <c r="E70" s="65"/>
      <c r="F70" s="66"/>
      <c r="G70" s="77"/>
      <c r="H70" s="72"/>
      <c r="I70" s="82"/>
      <c r="J70" s="69"/>
      <c r="K70" s="459"/>
      <c r="L70" s="459"/>
      <c r="M70" s="459"/>
      <c r="N70" s="461"/>
      <c r="O70" s="427" t="str">
        <f>IF(OR(I70="",F70=Paramétrage!$C$9,F70=Paramétrage!$C$12,F70=Paramétrage!$C$15,F70=Paramétrage!$C$18,F70=[1]Paramétrage!$C$23,F70=Paramétrage!$C$25,J70="Mut+ext"),"",ROUNDUP(H70/I70,0))</f>
        <v/>
      </c>
      <c r="P70" s="46">
        <f>IF(F70="",0,IF(OR(J70="Mut+ext",VLOOKUP(F70,Paramétrage!$C$6:$E$27,2,0)=0),0,IF(I70="","saisir capacité",G70*O70*VLOOKUP(F70,Paramétrage!$C$6:$E$27,2,0))))</f>
        <v>0</v>
      </c>
      <c r="Q70" s="68"/>
      <c r="R70" s="44">
        <f t="shared" si="22"/>
        <v>0</v>
      </c>
      <c r="S70" s="61">
        <f>IF(F70="",0,IF(ISERROR(Q70+P70*VLOOKUP(F70,Paramétrage!$C$6:$E$27,3,0))=TRUE,R70,Q70+P70*VLOOKUP(F70,Paramétrage!$C$6:$E$27,3,0)))</f>
        <v>0</v>
      </c>
      <c r="T70" s="72"/>
      <c r="U70" s="72"/>
      <c r="V70" s="72"/>
      <c r="W70" s="72"/>
      <c r="X70" s="431">
        <f t="shared" si="21"/>
        <v>0</v>
      </c>
      <c r="Y70" s="458"/>
      <c r="Z70" s="459"/>
      <c r="AA70" s="460"/>
      <c r="AB70" s="60">
        <f t="shared" si="25"/>
        <v>0</v>
      </c>
      <c r="AC70" s="45">
        <f t="shared" si="24"/>
        <v>0</v>
      </c>
    </row>
    <row r="71" spans="1:29" x14ac:dyDescent="0.25">
      <c r="A71" s="490"/>
      <c r="B71" s="95"/>
      <c r="C71" s="64"/>
      <c r="D71" s="87"/>
      <c r="E71" s="65"/>
      <c r="F71" s="66"/>
      <c r="G71" s="77"/>
      <c r="H71" s="72"/>
      <c r="I71" s="82"/>
      <c r="J71" s="69"/>
      <c r="K71" s="459"/>
      <c r="L71" s="459"/>
      <c r="M71" s="459"/>
      <c r="N71" s="461"/>
      <c r="O71" s="427" t="str">
        <f>IF(OR(I71="",F71=Paramétrage!$C$9,F71=Paramétrage!$C$12,F71=Paramétrage!$C$15,F71=Paramétrage!$C$18,F71=[1]Paramétrage!$C$23,F71=Paramétrage!$C$25,J71="Mut+ext"),"",ROUNDUP(H71/I71,0))</f>
        <v/>
      </c>
      <c r="P71" s="46">
        <f>IF(F71="",0,IF(OR(J71="Mut+ext",VLOOKUP(F71,Paramétrage!$C$6:$E$27,2,0)=0),0,IF(I71="","saisir capacité",G71*O71*VLOOKUP(F71,Paramétrage!$C$6:$E$27,2,0))))</f>
        <v>0</v>
      </c>
      <c r="Q71" s="68"/>
      <c r="R71" s="44">
        <f t="shared" si="22"/>
        <v>0</v>
      </c>
      <c r="S71" s="61">
        <f>IF(F71="",0,IF(ISERROR(Q71+P71*VLOOKUP(F71,Paramétrage!$C$6:$E$27,3,0))=TRUE,R71,Q71+P71*VLOOKUP(F71,Paramétrage!$C$6:$E$27,3,0)))</f>
        <v>0</v>
      </c>
      <c r="T71" s="72"/>
      <c r="U71" s="72"/>
      <c r="V71" s="72"/>
      <c r="W71" s="72"/>
      <c r="X71" s="431">
        <f t="shared" si="21"/>
        <v>0</v>
      </c>
      <c r="Y71" s="458"/>
      <c r="Z71" s="459"/>
      <c r="AA71" s="460"/>
      <c r="AB71" s="60">
        <f t="shared" si="25"/>
        <v>0</v>
      </c>
      <c r="AC71" s="45">
        <f t="shared" si="24"/>
        <v>0</v>
      </c>
    </row>
    <row r="72" spans="1:29" x14ac:dyDescent="0.25">
      <c r="A72" s="490"/>
      <c r="B72" s="95"/>
      <c r="C72" s="64"/>
      <c r="D72" s="87"/>
      <c r="E72" s="65"/>
      <c r="F72" s="66"/>
      <c r="G72" s="77"/>
      <c r="H72" s="72"/>
      <c r="I72" s="82"/>
      <c r="J72" s="69"/>
      <c r="K72" s="459"/>
      <c r="L72" s="459"/>
      <c r="M72" s="459"/>
      <c r="N72" s="461"/>
      <c r="O72" s="427" t="str">
        <f>IF(OR(I72="",F72=Paramétrage!$C$9,F72=Paramétrage!$C$12,F72=Paramétrage!$C$15,F72=Paramétrage!$C$18,F72=[1]Paramétrage!$C$23,F72=Paramétrage!$C$25,J72="Mut+ext"),"",ROUNDUP(H72/I72,0))</f>
        <v/>
      </c>
      <c r="P72" s="46">
        <f>IF(F72="",0,IF(OR(J72="Mut+ext",VLOOKUP(F72,Paramétrage!$C$6:$E$27,2,0)=0),0,IF(I72="","saisir capacité",G72*O72*VLOOKUP(F72,Paramétrage!$C$6:$E$27,2,0))))</f>
        <v>0</v>
      </c>
      <c r="Q72" s="68"/>
      <c r="R72" s="44">
        <f t="shared" si="20"/>
        <v>0</v>
      </c>
      <c r="S72" s="61">
        <f>IF(F72="",0,IF(ISERROR(Q72+P72*VLOOKUP(F72,Paramétrage!$C$6:$E$27,3,0))=TRUE,R72,Q72+P72*VLOOKUP(F72,Paramétrage!$C$6:$E$27,3,0)))</f>
        <v>0</v>
      </c>
      <c r="T72" s="72"/>
      <c r="U72" s="72"/>
      <c r="V72" s="72"/>
      <c r="W72" s="72"/>
      <c r="X72" s="431">
        <f t="shared" si="21"/>
        <v>0</v>
      </c>
      <c r="Y72" s="458"/>
      <c r="Z72" s="459"/>
      <c r="AA72" s="460"/>
      <c r="AB72" s="60">
        <f>IF(B72="",0,IF(D72="",0,IF(SUMIF(B58:B77,B72,H58:H77)=0,0,IF(D72="Obligatoire",AC72/H72,IF(E72="",AC72/SUMIF(B58:B77,B72,H58:H77),AC72/(SUMIF(B58:B77,B72,H58:H77)/E72))))))</f>
        <v>0</v>
      </c>
      <c r="AC72" s="45">
        <f t="shared" ref="AC72:AC77" si="26">G72*H72</f>
        <v>0</v>
      </c>
    </row>
    <row r="73" spans="1:29" x14ac:dyDescent="0.25">
      <c r="A73" s="490"/>
      <c r="B73" s="96"/>
      <c r="C73" s="64"/>
      <c r="D73" s="87"/>
      <c r="E73" s="65"/>
      <c r="F73" s="66"/>
      <c r="G73" s="77"/>
      <c r="H73" s="72"/>
      <c r="I73" s="82"/>
      <c r="J73" s="69"/>
      <c r="K73" s="459"/>
      <c r="L73" s="459"/>
      <c r="M73" s="459"/>
      <c r="N73" s="461"/>
      <c r="O73" s="427" t="str">
        <f>IF(OR(I73="",F73=Paramétrage!$C$9,F73=Paramétrage!$C$12,F73=Paramétrage!$C$15,F73=Paramétrage!$C$18,F73=[1]Paramétrage!$C$23,F73=Paramétrage!$C$25,J73="Mut+ext"),"",ROUNDUP(H73/I73,0))</f>
        <v/>
      </c>
      <c r="P73" s="46">
        <f>IF(F73="",0,IF(OR(J73="Mut+ext",VLOOKUP(F73,Paramétrage!$C$6:$E$27,2,0)=0),0,IF(I73="","saisir capacité",G73*O73*VLOOKUP(F73,Paramétrage!$C$6:$E$27,2,0))))</f>
        <v>0</v>
      </c>
      <c r="Q73" s="68"/>
      <c r="R73" s="44">
        <f t="shared" si="20"/>
        <v>0</v>
      </c>
      <c r="S73" s="61">
        <f>IF(F73="",0,IF(ISERROR(Q73+P73*VLOOKUP(F73,Paramétrage!$C$6:$E$27,3,0))=TRUE,R73,Q73+P73*VLOOKUP(F73,Paramétrage!$C$6:$E$27,3,0)))</f>
        <v>0</v>
      </c>
      <c r="T73" s="72"/>
      <c r="U73" s="72"/>
      <c r="V73" s="72"/>
      <c r="W73" s="72"/>
      <c r="X73" s="431">
        <f t="shared" si="21"/>
        <v>0</v>
      </c>
      <c r="Y73" s="458"/>
      <c r="Z73" s="459"/>
      <c r="AA73" s="460"/>
      <c r="AB73" s="60">
        <f>IF(B73="",0,IF(D73="",0,IF(SUMIF(B58:B77,B73,H58:H77)=0,0,IF(D73="Obligatoire",AC73/H73,IF(E73="",AC73/SUMIF(B58:B77,B73,H58:H77),AC73/(SUMIF(B58:B77,B73,H58:H77)/E73))))))</f>
        <v>0</v>
      </c>
      <c r="AC73" s="45">
        <f t="shared" si="26"/>
        <v>0</v>
      </c>
    </row>
    <row r="74" spans="1:29" x14ac:dyDescent="0.25">
      <c r="A74" s="490"/>
      <c r="B74" s="95"/>
      <c r="C74" s="64"/>
      <c r="D74" s="87"/>
      <c r="E74" s="65"/>
      <c r="F74" s="66"/>
      <c r="G74" s="77"/>
      <c r="H74" s="72"/>
      <c r="I74" s="82"/>
      <c r="J74" s="69"/>
      <c r="K74" s="459"/>
      <c r="L74" s="459"/>
      <c r="M74" s="459"/>
      <c r="N74" s="461"/>
      <c r="O74" s="427" t="str">
        <f>IF(OR(I74="",F74=Paramétrage!$C$9,F74=Paramétrage!$C$12,F74=Paramétrage!$C$15,F74=Paramétrage!$C$18,F74=[1]Paramétrage!$C$23,F74=Paramétrage!$C$25,J74="Mut+ext"),"",ROUNDUP(H74/I74,0))</f>
        <v/>
      </c>
      <c r="P74" s="46">
        <f>IF(F74="",0,IF(OR(J74="Mut+ext",VLOOKUP(F74,Paramétrage!$C$6:$E$27,2,0)=0),0,IF(I74="","saisir capacité",G74*O74*VLOOKUP(F74,Paramétrage!$C$6:$E$27,2,0))))</f>
        <v>0</v>
      </c>
      <c r="Q74" s="68"/>
      <c r="R74" s="44">
        <f t="shared" si="20"/>
        <v>0</v>
      </c>
      <c r="S74" s="61">
        <f>IF(F74="",0,IF(ISERROR(Q74+P74*VLOOKUP(F74,Paramétrage!$C$6:$E$27,3,0))=TRUE,R74,Q74+P74*VLOOKUP(F74,Paramétrage!$C$6:$E$27,3,0)))</f>
        <v>0</v>
      </c>
      <c r="T74" s="72"/>
      <c r="U74" s="72"/>
      <c r="V74" s="72"/>
      <c r="W74" s="72"/>
      <c r="X74" s="431">
        <f t="shared" si="21"/>
        <v>0</v>
      </c>
      <c r="Y74" s="458"/>
      <c r="Z74" s="459"/>
      <c r="AA74" s="460"/>
      <c r="AB74" s="60">
        <f>IF(B74="",0,IF(D74="",0,IF(SUMIF(B58:B77,B74,H58:H77)=0,0,IF(D74="Obligatoire",AC74/H74,IF(E74="",AC74/SUMIF(B58:B77,B74,H58:H77),AC74/(SUMIF(B58:B77,B74,H58:H77)/E74))))))</f>
        <v>0</v>
      </c>
      <c r="AC74" s="45">
        <f t="shared" si="26"/>
        <v>0</v>
      </c>
    </row>
    <row r="75" spans="1:29" x14ac:dyDescent="0.25">
      <c r="A75" s="490"/>
      <c r="B75" s="95"/>
      <c r="C75" s="64"/>
      <c r="D75" s="87"/>
      <c r="E75" s="65"/>
      <c r="F75" s="66"/>
      <c r="G75" s="77"/>
      <c r="H75" s="72"/>
      <c r="I75" s="82"/>
      <c r="J75" s="69"/>
      <c r="K75" s="459"/>
      <c r="L75" s="459"/>
      <c r="M75" s="459"/>
      <c r="N75" s="461"/>
      <c r="O75" s="427" t="str">
        <f>IF(OR(I75="",F75=Paramétrage!$C$9,F75=Paramétrage!$C$12,F75=Paramétrage!$C$15,F75=Paramétrage!$C$18,F75=[1]Paramétrage!$C$23,F75=Paramétrage!$C$25,J75="Mut+ext"),"",ROUNDUP(H75/I75,0))</f>
        <v/>
      </c>
      <c r="P75" s="46">
        <f>IF(F75="",0,IF(OR(J75="Mut+ext",VLOOKUP(F75,Paramétrage!$C$6:$E$27,2,0)=0),0,IF(I75="","saisir capacité",G75*O75*VLOOKUP(F75,Paramétrage!$C$6:$E$27,2,0))))</f>
        <v>0</v>
      </c>
      <c r="Q75" s="68"/>
      <c r="R75" s="44">
        <f t="shared" si="20"/>
        <v>0</v>
      </c>
      <c r="S75" s="61">
        <f>IF(F75="",0,IF(ISERROR(Q75+P75*VLOOKUP(F75,Paramétrage!$C$6:$E$27,3,0))=TRUE,R75,Q75+P75*VLOOKUP(F75,Paramétrage!$C$6:$E$27,3,0)))</f>
        <v>0</v>
      </c>
      <c r="T75" s="74"/>
      <c r="U75" s="74"/>
      <c r="V75" s="74"/>
      <c r="W75" s="74"/>
      <c r="X75" s="431">
        <f t="shared" si="21"/>
        <v>0</v>
      </c>
      <c r="Y75" s="458"/>
      <c r="Z75" s="459"/>
      <c r="AA75" s="460"/>
      <c r="AB75" s="60">
        <f>IF(B75="",0,IF(D75="",0,IF(SUMIF(B58:B77,B75,H58:H77)=0,0,IF(D75="Obligatoire",AC75/H75,IF(E75="",AC75/SUMIF(B58:B77,B75,H58:H77),AC75/(SUMIF(B58:B77,B75,H58:H77)/E75))))))</f>
        <v>0</v>
      </c>
      <c r="AC75" s="45">
        <f t="shared" si="26"/>
        <v>0</v>
      </c>
    </row>
    <row r="76" spans="1:29" x14ac:dyDescent="0.25">
      <c r="A76" s="490"/>
      <c r="B76" s="95"/>
      <c r="C76" s="64"/>
      <c r="D76" s="87"/>
      <c r="E76" s="65"/>
      <c r="F76" s="66"/>
      <c r="G76" s="77"/>
      <c r="H76" s="72"/>
      <c r="I76" s="82"/>
      <c r="J76" s="69"/>
      <c r="K76" s="459"/>
      <c r="L76" s="459"/>
      <c r="M76" s="459"/>
      <c r="N76" s="461"/>
      <c r="O76" s="427" t="str">
        <f>IF(OR(I76="",F76=Paramétrage!$C$9,F76=Paramétrage!$C$12,F76=Paramétrage!$C$15,F76=Paramétrage!$C$18,F76=[1]Paramétrage!$C$23,F76=Paramétrage!$C$25,J76="Mut+ext"),"",ROUNDUP(H76/I76,0))</f>
        <v/>
      </c>
      <c r="P76" s="46">
        <f>IF(F76="",0,IF(OR(J76="Mut+ext",VLOOKUP(F76,Paramétrage!$C$6:$E$27,2,0)=0),0,IF(I76="","saisir capacité",G76*O76*VLOOKUP(F76,Paramétrage!$C$6:$E$27,2,0))))</f>
        <v>0</v>
      </c>
      <c r="Q76" s="68"/>
      <c r="R76" s="44">
        <f t="shared" si="20"/>
        <v>0</v>
      </c>
      <c r="S76" s="61">
        <f>IF(F76="",0,IF(ISERROR(Q76+P76*VLOOKUP(F76,Paramétrage!$C$6:$E$27,3,0))=TRUE,R76,Q76+P76*VLOOKUP(F76,Paramétrage!$C$6:$E$27,3,0)))</f>
        <v>0</v>
      </c>
      <c r="T76" s="73"/>
      <c r="U76" s="73"/>
      <c r="V76" s="73"/>
      <c r="W76" s="73"/>
      <c r="X76" s="431">
        <f t="shared" si="21"/>
        <v>0</v>
      </c>
      <c r="Y76" s="458"/>
      <c r="Z76" s="459"/>
      <c r="AA76" s="460"/>
      <c r="AB76" s="60">
        <f>IF(B76="",0,IF(D76="",0,IF(SUMIF(B58:B77,B76,H58:H77)=0,0,IF(D76="Obligatoire",AC76/H76,IF(E76="",AC76/SUMIF(B58:B77,B76,H58:H77),AC76/(SUMIF(B58:B77,B76,H58:H77)/E76))))))</f>
        <v>0</v>
      </c>
      <c r="AC76" s="45">
        <f t="shared" si="26"/>
        <v>0</v>
      </c>
    </row>
    <row r="77" spans="1:29" ht="15.6" customHeight="1" x14ac:dyDescent="0.25">
      <c r="A77" s="490"/>
      <c r="B77" s="95"/>
      <c r="C77" s="64"/>
      <c r="D77" s="87"/>
      <c r="E77" s="65"/>
      <c r="F77" s="66"/>
      <c r="G77" s="77"/>
      <c r="H77" s="72"/>
      <c r="I77" s="82"/>
      <c r="J77" s="69"/>
      <c r="K77" s="459"/>
      <c r="L77" s="459"/>
      <c r="M77" s="459"/>
      <c r="N77" s="461"/>
      <c r="O77" s="427" t="str">
        <f>IF(OR(I77="",F77=Paramétrage!$C$9,F77=Paramétrage!$C$12,F77=Paramétrage!$C$15,F77=Paramétrage!$C$18,F77=[1]Paramétrage!$C$23,F77=Paramétrage!$C$25,J77="Mut+ext"),"",ROUNDUP(H77/I77,0))</f>
        <v/>
      </c>
      <c r="P77" s="46">
        <f>IF(F77="",0,IF(OR(J77="Mut+ext",VLOOKUP(F77,Paramétrage!$C$6:$E$27,2,0)=0),0,IF(I77="","saisir capacité",G77*O77*VLOOKUP(F77,Paramétrage!$C$6:$E$27,2,0))))</f>
        <v>0</v>
      </c>
      <c r="Q77" s="68"/>
      <c r="R77" s="44">
        <f t="shared" si="20"/>
        <v>0</v>
      </c>
      <c r="S77" s="61">
        <f>IF(F77="",0,IF(ISERROR(Q77+P77*VLOOKUP(F77,Paramétrage!$C$6:$E$27,3,0))=TRUE,R77,Q77+P77*VLOOKUP(F77,Paramétrage!$C$6:$E$27,3,0)))</f>
        <v>0</v>
      </c>
      <c r="T77" s="72"/>
      <c r="U77" s="72"/>
      <c r="V77" s="72"/>
      <c r="W77" s="72"/>
      <c r="X77" s="431">
        <f t="shared" si="21"/>
        <v>0</v>
      </c>
      <c r="Y77" s="458"/>
      <c r="Z77" s="459"/>
      <c r="AA77" s="460"/>
      <c r="AB77" s="60">
        <f>IF(B77="",0,IF(D77="",0,IF(SUMIF(B58:B77,B77,H58:H77)=0,0,IF(D77="Obligatoire",AC77/H77,IF(E77="",AC77/SUMIF(B58:B77,B77,H58:H77),AC77/(SUMIF(B58:B77,B77,H58:H77)/E77))))))</f>
        <v>0</v>
      </c>
      <c r="AC77" s="45">
        <f t="shared" si="26"/>
        <v>0</v>
      </c>
    </row>
    <row r="78" spans="1:29" ht="15.6" customHeight="1" thickBot="1" x14ac:dyDescent="0.3">
      <c r="A78" s="489"/>
      <c r="B78" s="97"/>
      <c r="C78" s="49"/>
      <c r="D78" s="49"/>
      <c r="E78" s="50"/>
      <c r="F78" s="47"/>
      <c r="G78" s="84">
        <f>AB78</f>
        <v>0</v>
      </c>
      <c r="H78" s="78"/>
      <c r="I78" s="83"/>
      <c r="J78" s="89"/>
      <c r="K78" s="106"/>
      <c r="L78" s="106"/>
      <c r="M78" s="106"/>
      <c r="N78" s="107"/>
      <c r="O78" s="51"/>
      <c r="P78" s="108">
        <f>SUM(P58:P77)</f>
        <v>0</v>
      </c>
      <c r="Q78" s="47">
        <v>0</v>
      </c>
      <c r="R78" s="52">
        <f t="shared" ref="R78" si="27">P78+Q78</f>
        <v>0</v>
      </c>
      <c r="S78" s="115">
        <f>SUM(S58:S77)</f>
        <v>0</v>
      </c>
      <c r="T78" s="417"/>
      <c r="U78" s="417"/>
      <c r="V78" s="417"/>
      <c r="W78" s="417"/>
      <c r="X78" s="433"/>
      <c r="Y78" s="110"/>
      <c r="Z78" s="111"/>
      <c r="AA78" s="112"/>
      <c r="AB78" s="113">
        <f>SUM(AB58:AB77)</f>
        <v>0</v>
      </c>
      <c r="AC78" s="59">
        <f>SUM(AC58:AC77)</f>
        <v>0</v>
      </c>
    </row>
    <row r="79" spans="1:29" ht="14.4" customHeight="1" x14ac:dyDescent="0.25">
      <c r="A79" s="488" t="s">
        <v>122</v>
      </c>
      <c r="B79" s="94"/>
      <c r="C79" s="98"/>
      <c r="D79" s="86"/>
      <c r="E79" s="62"/>
      <c r="F79" s="63"/>
      <c r="G79" s="76"/>
      <c r="H79" s="71"/>
      <c r="I79" s="99"/>
      <c r="J79" s="88"/>
      <c r="K79" s="463"/>
      <c r="L79" s="463"/>
      <c r="M79" s="463"/>
      <c r="N79" s="475"/>
      <c r="O79" s="427" t="str">
        <f>IF(OR(I79="",F79=Paramétrage!$C$9,F79=Paramétrage!$C$12,F79=Paramétrage!$C$15,F79=Paramétrage!$C$18,F79=[1]Paramétrage!$C$23,F79=Paramétrage!$C$25,J79="Mut+ext"),"",ROUNDUP(H79/I79,0))</f>
        <v/>
      </c>
      <c r="P79" s="100">
        <f>IF(F79="",0,IF(OR(J79="Mut+ext",VLOOKUP(F79,Paramétrage!$C$6:$E$27,2,0)=0),0,IF(I79="","saisir capacité",G79*O79*VLOOKUP(F79,Paramétrage!$C$6:$E$27,2,0))))</f>
        <v>0</v>
      </c>
      <c r="Q79" s="101"/>
      <c r="R79" s="102">
        <f t="shared" ref="R79:R98" si="28">IF(ISERROR(P79+Q79)=TRUE,P79,P79+Q79)</f>
        <v>0</v>
      </c>
      <c r="S79" s="103">
        <f>IF(F79="",0,IF(ISERROR(Q79+P79*VLOOKUP(F79,Paramétrage!$C$6:$E$27,3,0))=TRUE,R79,Q79+P79*VLOOKUP(F79,Paramétrage!$C$6:$E$27,3,0)))</f>
        <v>0</v>
      </c>
      <c r="T79" s="71"/>
      <c r="U79" s="71"/>
      <c r="V79" s="71"/>
      <c r="W79" s="71"/>
      <c r="X79" s="430">
        <f>SUM(T79:W79)</f>
        <v>0</v>
      </c>
      <c r="Y79" s="462"/>
      <c r="Z79" s="463"/>
      <c r="AA79" s="464"/>
      <c r="AB79" s="104">
        <f>IF(B79="",0,IF(D79="",0,IF(SUMIF(B79:B98,B79,H79:H98)=0,0,IF(D79="Obligatoire",AC79/H79,IF(E79="",AC79/SUMIF(B79:B98,B79,H79:H98),AC79/(SUMIF(B79:B98,B79,H79:H98)/E79))))))</f>
        <v>0</v>
      </c>
      <c r="AC79" s="105">
        <f>G79*H79</f>
        <v>0</v>
      </c>
    </row>
    <row r="80" spans="1:29" x14ac:dyDescent="0.25">
      <c r="A80" s="490"/>
      <c r="B80" s="95"/>
      <c r="C80" s="64"/>
      <c r="D80" s="87"/>
      <c r="E80" s="65"/>
      <c r="F80" s="66"/>
      <c r="G80" s="77"/>
      <c r="H80" s="72"/>
      <c r="I80" s="82"/>
      <c r="J80" s="69"/>
      <c r="K80" s="459"/>
      <c r="L80" s="459"/>
      <c r="M80" s="459"/>
      <c r="N80" s="461"/>
      <c r="O80" s="427" t="str">
        <f>IF(OR(I80="",F80=Paramétrage!$C$9,F80=Paramétrage!$C$12,F80=Paramétrage!$C$15,F80=Paramétrage!$C$18,F80=[1]Paramétrage!$C$23,F80=Paramétrage!$C$25,J80="Mut+ext"),"",ROUNDUP(H80/I80,0))</f>
        <v/>
      </c>
      <c r="P80" s="46">
        <f>IF(F80="",0,IF(OR(J80="Mut+ext",VLOOKUP(F80,Paramétrage!$C$6:$E$27,2,0)=0),0,IF(I80="","saisir capacité",G80*O80*VLOOKUP(F80,Paramétrage!$C$6:$E$27,2,0))))</f>
        <v>0</v>
      </c>
      <c r="Q80" s="68"/>
      <c r="R80" s="44">
        <f t="shared" si="28"/>
        <v>0</v>
      </c>
      <c r="S80" s="61">
        <f>IF(F80="",0,IF(ISERROR(Q80+P80*VLOOKUP(F80,Paramétrage!$C$6:$E$27,3,0))=TRUE,R80,Q80+P80*VLOOKUP(F80,Paramétrage!$C$6:$E$27,3,0)))</f>
        <v>0</v>
      </c>
      <c r="T80" s="72"/>
      <c r="U80" s="72"/>
      <c r="V80" s="72"/>
      <c r="W80" s="72"/>
      <c r="X80" s="431">
        <f t="shared" ref="X80:X98" si="29">SUM(T80:W80)</f>
        <v>0</v>
      </c>
      <c r="Y80" s="458"/>
      <c r="Z80" s="459"/>
      <c r="AA80" s="460"/>
      <c r="AB80" s="60">
        <f>IF(B80="",0,IF(D80="",0,IF(SUMIF(B79:B98,B80,H79:H98)=0,0,IF(D80="Obligatoire",AC80/H80,IF(E80="",AC80/SUMIF(B79:B98,B80,H79:H98),AC80/(SUMIF(B79:B98,B80,H79:H98)/E80))))))</f>
        <v>0</v>
      </c>
      <c r="AC80" s="45">
        <f>G80*H80</f>
        <v>0</v>
      </c>
    </row>
    <row r="81" spans="1:29" x14ac:dyDescent="0.25">
      <c r="A81" s="490"/>
      <c r="B81" s="95"/>
      <c r="C81" s="64"/>
      <c r="D81" s="87"/>
      <c r="E81" s="65"/>
      <c r="F81" s="66"/>
      <c r="G81" s="77"/>
      <c r="H81" s="72"/>
      <c r="I81" s="82"/>
      <c r="J81" s="69"/>
      <c r="K81" s="459"/>
      <c r="L81" s="459"/>
      <c r="M81" s="459"/>
      <c r="N81" s="461"/>
      <c r="O81" s="427" t="str">
        <f>IF(OR(I81="",F81=Paramétrage!$C$9,F81=Paramétrage!$C$12,F81=Paramétrage!$C$15,F81=Paramétrage!$C$18,F81=[1]Paramétrage!$C$23,F81=Paramétrage!$C$25,J81="Mut+ext"),"",ROUNDUP(H81/I81,0))</f>
        <v/>
      </c>
      <c r="P81" s="46">
        <f>IF(F81="",0,IF(OR(J81="Mut+ext",VLOOKUP(F81,Paramétrage!$C$6:$E$27,2,0)=0),0,IF(I81="","saisir capacité",G81*O81*VLOOKUP(F81,Paramétrage!$C$6:$E$27,2,0))))</f>
        <v>0</v>
      </c>
      <c r="Q81" s="68"/>
      <c r="R81" s="44">
        <f t="shared" si="28"/>
        <v>0</v>
      </c>
      <c r="S81" s="61">
        <f>IF(F81="",0,IF(ISERROR(Q81+P81*VLOOKUP(F81,Paramétrage!$C$6:$E$27,3,0))=TRUE,R81,Q81+P81*VLOOKUP(F81,Paramétrage!$C$6:$E$27,3,0)))</f>
        <v>0</v>
      </c>
      <c r="T81" s="72"/>
      <c r="U81" s="72"/>
      <c r="V81" s="72"/>
      <c r="W81" s="72"/>
      <c r="X81" s="431">
        <f t="shared" si="29"/>
        <v>0</v>
      </c>
      <c r="Y81" s="458"/>
      <c r="Z81" s="459"/>
      <c r="AA81" s="460"/>
      <c r="AB81" s="60">
        <f>IF(B81="",0,IF(D81="",0,IF(SUMIF(B79:B98,B81,H79:H98)=0,0,IF(D81="Obligatoire",AC81/H81,IF(E81="",AC81/SUMIF(B79:B98,B81,H79:H98),AC81/(SUMIF(B79:B98,B81,H79:H98)/E81))))))</f>
        <v>0</v>
      </c>
      <c r="AC81" s="45">
        <f>G81*H81</f>
        <v>0</v>
      </c>
    </row>
    <row r="82" spans="1:29" x14ac:dyDescent="0.25">
      <c r="A82" s="490"/>
      <c r="B82" s="95"/>
      <c r="C82" s="64"/>
      <c r="D82" s="87"/>
      <c r="E82" s="65"/>
      <c r="F82" s="66"/>
      <c r="G82" s="77"/>
      <c r="H82" s="72"/>
      <c r="I82" s="82"/>
      <c r="J82" s="69"/>
      <c r="K82" s="459"/>
      <c r="L82" s="459"/>
      <c r="M82" s="459"/>
      <c r="N82" s="461"/>
      <c r="O82" s="427" t="str">
        <f>IF(OR(I82="",F82=Paramétrage!$C$9,F82=Paramétrage!$C$12,F82=Paramétrage!$C$15,F82=Paramétrage!$C$18,F82=[1]Paramétrage!$C$23,F82=Paramétrage!$C$25,J82="Mut+ext"),"",ROUNDUP(H82/I82,0))</f>
        <v/>
      </c>
      <c r="P82" s="46">
        <f>IF(F82="",0,IF(OR(J82="Mut+ext",VLOOKUP(F82,Paramétrage!$C$6:$E$27,2,0)=0),0,IF(I82="","saisir capacité",G82*O82*VLOOKUP(F82,Paramétrage!$C$6:$E$27,2,0))))</f>
        <v>0</v>
      </c>
      <c r="Q82" s="68"/>
      <c r="R82" s="44">
        <f t="shared" ref="R82:R94" si="30">IF(ISERROR(P82+Q82)=TRUE,P82,P82+Q82)</f>
        <v>0</v>
      </c>
      <c r="S82" s="61">
        <f>IF(F82="",0,IF(ISERROR(Q82+P82*VLOOKUP(F82,Paramétrage!$C$6:$E$27,3,0))=TRUE,R82,Q82+P82*VLOOKUP(F82,Paramétrage!$C$6:$E$27,3,0)))</f>
        <v>0</v>
      </c>
      <c r="T82" s="72"/>
      <c r="U82" s="72"/>
      <c r="V82" s="72"/>
      <c r="W82" s="72"/>
      <c r="X82" s="431">
        <f t="shared" si="29"/>
        <v>0</v>
      </c>
      <c r="Y82" s="458"/>
      <c r="Z82" s="459"/>
      <c r="AA82" s="460"/>
      <c r="AB82" s="60">
        <f t="shared" ref="AB82:AB84" si="31">IF(B82="",0,IF(D82="",0,IF(SUMIF(B80:B99,B82,H80:H99)=0,0,IF(D82="Obligatoire",AC82/H82,IF(E82="",AC82/SUMIF(B80:B99,B82,H80:H99),AC82/(SUMIF(B80:B99,B82,H80:H99)/E82))))))</f>
        <v>0</v>
      </c>
      <c r="AC82" s="45">
        <f t="shared" ref="AC82:AC94" si="32">G82*H82</f>
        <v>0</v>
      </c>
    </row>
    <row r="83" spans="1:29" x14ac:dyDescent="0.25">
      <c r="A83" s="490"/>
      <c r="B83" s="95"/>
      <c r="C83" s="64"/>
      <c r="D83" s="87"/>
      <c r="E83" s="65"/>
      <c r="F83" s="66"/>
      <c r="G83" s="77"/>
      <c r="H83" s="72"/>
      <c r="I83" s="82"/>
      <c r="J83" s="69"/>
      <c r="K83" s="459"/>
      <c r="L83" s="459"/>
      <c r="M83" s="459"/>
      <c r="N83" s="461"/>
      <c r="O83" s="427" t="str">
        <f>IF(OR(I83="",F83=Paramétrage!$C$9,F83=Paramétrage!$C$12,F83=Paramétrage!$C$15,F83=Paramétrage!$C$18,F83=[1]Paramétrage!$C$23,F83=Paramétrage!$C$25,J83="Mut+ext"),"",ROUNDUP(H83/I83,0))</f>
        <v/>
      </c>
      <c r="P83" s="46">
        <f>IF(F83="",0,IF(OR(J83="Mut+ext",VLOOKUP(F83,Paramétrage!$C$6:$E$27,2,0)=0),0,IF(I83="","saisir capacité",G83*O83*VLOOKUP(F83,Paramétrage!$C$6:$E$27,2,0))))</f>
        <v>0</v>
      </c>
      <c r="Q83" s="68"/>
      <c r="R83" s="44">
        <f t="shared" si="30"/>
        <v>0</v>
      </c>
      <c r="S83" s="61">
        <f>IF(F83="",0,IF(ISERROR(Q83+P83*VLOOKUP(F83,Paramétrage!$C$6:$E$27,3,0))=TRUE,R83,Q83+P83*VLOOKUP(F83,Paramétrage!$C$6:$E$27,3,0)))</f>
        <v>0</v>
      </c>
      <c r="T83" s="72"/>
      <c r="U83" s="72"/>
      <c r="V83" s="72"/>
      <c r="W83" s="72"/>
      <c r="X83" s="431">
        <f t="shared" si="29"/>
        <v>0</v>
      </c>
      <c r="Y83" s="458"/>
      <c r="Z83" s="459"/>
      <c r="AA83" s="460"/>
      <c r="AB83" s="60">
        <f t="shared" si="31"/>
        <v>0</v>
      </c>
      <c r="AC83" s="45">
        <f t="shared" si="32"/>
        <v>0</v>
      </c>
    </row>
    <row r="84" spans="1:29" x14ac:dyDescent="0.25">
      <c r="A84" s="490"/>
      <c r="B84" s="95"/>
      <c r="C84" s="64"/>
      <c r="D84" s="87"/>
      <c r="E84" s="65"/>
      <c r="F84" s="66"/>
      <c r="G84" s="77"/>
      <c r="H84" s="72"/>
      <c r="I84" s="82"/>
      <c r="J84" s="69"/>
      <c r="K84" s="459"/>
      <c r="L84" s="459"/>
      <c r="M84" s="459"/>
      <c r="N84" s="461"/>
      <c r="O84" s="427" t="str">
        <f>IF(OR(I84="",F84=Paramétrage!$C$9,F84=Paramétrage!$C$12,F84=Paramétrage!$C$15,F84=Paramétrage!$C$18,F84=[1]Paramétrage!$C$23,F84=Paramétrage!$C$25,J84="Mut+ext"),"",ROUNDUP(H84/I84,0))</f>
        <v/>
      </c>
      <c r="P84" s="46">
        <f>IF(F84="",0,IF(OR(J84="Mut+ext",VLOOKUP(F84,Paramétrage!$C$6:$E$27,2,0)=0),0,IF(I84="","saisir capacité",G84*O84*VLOOKUP(F84,Paramétrage!$C$6:$E$27,2,0))))</f>
        <v>0</v>
      </c>
      <c r="Q84" s="68"/>
      <c r="R84" s="44">
        <f t="shared" si="30"/>
        <v>0</v>
      </c>
      <c r="S84" s="61">
        <f>IF(F84="",0,IF(ISERROR(Q84+P84*VLOOKUP(F84,Paramétrage!$C$6:$E$27,3,0))=TRUE,R84,Q84+P84*VLOOKUP(F84,Paramétrage!$C$6:$E$27,3,0)))</f>
        <v>0</v>
      </c>
      <c r="T84" s="72"/>
      <c r="U84" s="72"/>
      <c r="V84" s="72"/>
      <c r="W84" s="72"/>
      <c r="X84" s="431">
        <f t="shared" si="29"/>
        <v>0</v>
      </c>
      <c r="Y84" s="458"/>
      <c r="Z84" s="459"/>
      <c r="AA84" s="460"/>
      <c r="AB84" s="60">
        <f t="shared" si="31"/>
        <v>0</v>
      </c>
      <c r="AC84" s="45">
        <f t="shared" si="32"/>
        <v>0</v>
      </c>
    </row>
    <row r="85" spans="1:29" x14ac:dyDescent="0.25">
      <c r="A85" s="490"/>
      <c r="B85" s="95"/>
      <c r="C85" s="64"/>
      <c r="D85" s="87"/>
      <c r="E85" s="65"/>
      <c r="F85" s="66"/>
      <c r="G85" s="77"/>
      <c r="H85" s="72"/>
      <c r="I85" s="82"/>
      <c r="J85" s="69"/>
      <c r="K85" s="459"/>
      <c r="L85" s="459"/>
      <c r="M85" s="459"/>
      <c r="N85" s="461"/>
      <c r="O85" s="427" t="str">
        <f>IF(OR(I85="",F85=Paramétrage!$C$9,F85=Paramétrage!$C$12,F85=Paramétrage!$C$15,F85=Paramétrage!$C$18,F85=[1]Paramétrage!$C$23,F85=Paramétrage!$C$25,J85="Mut+ext"),"",ROUNDUP(H85/I85,0))</f>
        <v/>
      </c>
      <c r="P85" s="46">
        <f>IF(F85="",0,IF(OR(J85="Mut+ext",VLOOKUP(F85,Paramétrage!$C$6:$E$27,2,0)=0),0,IF(I85="","saisir capacité",G85*O85*VLOOKUP(F85,Paramétrage!$C$6:$E$27,2,0))))</f>
        <v>0</v>
      </c>
      <c r="Q85" s="68"/>
      <c r="R85" s="44">
        <f t="shared" si="30"/>
        <v>0</v>
      </c>
      <c r="S85" s="61">
        <f>IF(F85="",0,IF(ISERROR(Q85+P85*VLOOKUP(F85,Paramétrage!$C$6:$E$27,3,0))=TRUE,R85,Q85+P85*VLOOKUP(F85,Paramétrage!$C$6:$E$27,3,0)))</f>
        <v>0</v>
      </c>
      <c r="T85" s="72"/>
      <c r="U85" s="72"/>
      <c r="V85" s="72"/>
      <c r="W85" s="72"/>
      <c r="X85" s="431">
        <f t="shared" si="29"/>
        <v>0</v>
      </c>
      <c r="Y85" s="458"/>
      <c r="Z85" s="459"/>
      <c r="AA85" s="460"/>
      <c r="AB85" s="60">
        <f t="shared" ref="AB85:AB93" si="33">IF(B85="",0,IF(D85="",0,IF(SUMIF(B83:B114,B85,H83:H114)=0,0,IF(D85="Obligatoire",AC85/H85,IF(E85="",AC85/SUMIF(B83:B114,B85,H83:H114),AC85/(SUMIF(B83:B114,B85,H83:H114)/E85))))))</f>
        <v>0</v>
      </c>
      <c r="AC85" s="45">
        <f t="shared" si="32"/>
        <v>0</v>
      </c>
    </row>
    <row r="86" spans="1:29" x14ac:dyDescent="0.25">
      <c r="A86" s="490"/>
      <c r="B86" s="95"/>
      <c r="C86" s="64"/>
      <c r="D86" s="87"/>
      <c r="E86" s="65"/>
      <c r="F86" s="66"/>
      <c r="G86" s="77"/>
      <c r="H86" s="72"/>
      <c r="I86" s="82"/>
      <c r="J86" s="69"/>
      <c r="K86" s="459"/>
      <c r="L86" s="459"/>
      <c r="M86" s="459"/>
      <c r="N86" s="461"/>
      <c r="O86" s="427" t="str">
        <f>IF(OR(I86="",F86=Paramétrage!$C$9,F86=Paramétrage!$C$12,F86=Paramétrage!$C$15,F86=Paramétrage!$C$18,F86=[1]Paramétrage!$C$23,F86=Paramétrage!$C$25,J86="Mut+ext"),"",ROUNDUP(H86/I86,0))</f>
        <v/>
      </c>
      <c r="P86" s="46">
        <f>IF(F86="",0,IF(OR(J86="Mut+ext",VLOOKUP(F86,Paramétrage!$C$6:$E$27,2,0)=0),0,IF(I86="","saisir capacité",G86*O86*VLOOKUP(F86,Paramétrage!$C$6:$E$27,2,0))))</f>
        <v>0</v>
      </c>
      <c r="Q86" s="68"/>
      <c r="R86" s="44">
        <f t="shared" si="30"/>
        <v>0</v>
      </c>
      <c r="S86" s="61">
        <f>IF(F86="",0,IF(ISERROR(Q86+P86*VLOOKUP(F86,Paramétrage!$C$6:$E$27,3,0))=TRUE,R86,Q86+P86*VLOOKUP(F86,Paramétrage!$C$6:$E$27,3,0)))</f>
        <v>0</v>
      </c>
      <c r="T86" s="72"/>
      <c r="U86" s="72"/>
      <c r="V86" s="72"/>
      <c r="W86" s="72"/>
      <c r="X86" s="431">
        <f t="shared" si="29"/>
        <v>0</v>
      </c>
      <c r="Y86" s="458"/>
      <c r="Z86" s="459"/>
      <c r="AA86" s="460"/>
      <c r="AB86" s="60">
        <f t="shared" si="33"/>
        <v>0</v>
      </c>
      <c r="AC86" s="45">
        <f t="shared" si="32"/>
        <v>0</v>
      </c>
    </row>
    <row r="87" spans="1:29" x14ac:dyDescent="0.25">
      <c r="A87" s="490"/>
      <c r="B87" s="95"/>
      <c r="C87" s="64"/>
      <c r="D87" s="87"/>
      <c r="E87" s="65"/>
      <c r="F87" s="66"/>
      <c r="G87" s="77"/>
      <c r="H87" s="72"/>
      <c r="I87" s="82"/>
      <c r="J87" s="69"/>
      <c r="K87" s="459"/>
      <c r="L87" s="459"/>
      <c r="M87" s="459"/>
      <c r="N87" s="461"/>
      <c r="O87" s="427" t="str">
        <f>IF(OR(I87="",F87=Paramétrage!$C$9,F87=Paramétrage!$C$12,F87=Paramétrage!$C$15,F87=Paramétrage!$C$18,F87=[1]Paramétrage!$C$23,F87=Paramétrage!$C$25,J87="Mut+ext"),"",ROUNDUP(H87/I87,0))</f>
        <v/>
      </c>
      <c r="P87" s="46">
        <f>IF(F87="",0,IF(OR(J87="Mut+ext",VLOOKUP(F87,Paramétrage!$C$6:$E$27,2,0)=0),0,IF(I87="","saisir capacité",G87*O87*VLOOKUP(F87,Paramétrage!$C$6:$E$27,2,0))))</f>
        <v>0</v>
      </c>
      <c r="Q87" s="68"/>
      <c r="R87" s="44">
        <f t="shared" si="30"/>
        <v>0</v>
      </c>
      <c r="S87" s="61">
        <f>IF(F87="",0,IF(ISERROR(Q87+P87*VLOOKUP(F87,Paramétrage!$C$6:$E$27,3,0))=TRUE,R87,Q87+P87*VLOOKUP(F87,Paramétrage!$C$6:$E$27,3,0)))</f>
        <v>0</v>
      </c>
      <c r="T87" s="72"/>
      <c r="U87" s="72"/>
      <c r="V87" s="72"/>
      <c r="W87" s="72"/>
      <c r="X87" s="431">
        <f t="shared" si="29"/>
        <v>0</v>
      </c>
      <c r="Y87" s="458"/>
      <c r="Z87" s="459"/>
      <c r="AA87" s="460"/>
      <c r="AB87" s="60">
        <f t="shared" si="33"/>
        <v>0</v>
      </c>
      <c r="AC87" s="45">
        <f t="shared" si="32"/>
        <v>0</v>
      </c>
    </row>
    <row r="88" spans="1:29" x14ac:dyDescent="0.25">
      <c r="A88" s="490"/>
      <c r="B88" s="95"/>
      <c r="C88" s="64"/>
      <c r="D88" s="87"/>
      <c r="E88" s="65"/>
      <c r="F88" s="66"/>
      <c r="G88" s="77"/>
      <c r="H88" s="72"/>
      <c r="I88" s="82"/>
      <c r="J88" s="69"/>
      <c r="K88" s="459"/>
      <c r="L88" s="459"/>
      <c r="M88" s="459"/>
      <c r="N88" s="461"/>
      <c r="O88" s="427" t="str">
        <f>IF(OR(I88="",F88=Paramétrage!$C$9,F88=Paramétrage!$C$12,F88=Paramétrage!$C$15,F88=Paramétrage!$C$18,F88=[1]Paramétrage!$C$23,F88=Paramétrage!$C$25,J88="Mut+ext"),"",ROUNDUP(H88/I88,0))</f>
        <v/>
      </c>
      <c r="P88" s="46">
        <f>IF(F88="",0,IF(OR(J88="Mut+ext",VLOOKUP(F88,Paramétrage!$C$6:$E$27,2,0)=0),0,IF(I88="","saisir capacité",G88*O88*VLOOKUP(F88,Paramétrage!$C$6:$E$27,2,0))))</f>
        <v>0</v>
      </c>
      <c r="Q88" s="68"/>
      <c r="R88" s="44">
        <f t="shared" si="30"/>
        <v>0</v>
      </c>
      <c r="S88" s="61">
        <f>IF(F88="",0,IF(ISERROR(Q88+P88*VLOOKUP(F88,Paramétrage!$C$6:$E$27,3,0))=TRUE,R88,Q88+P88*VLOOKUP(F88,Paramétrage!$C$6:$E$27,3,0)))</f>
        <v>0</v>
      </c>
      <c r="T88" s="72"/>
      <c r="U88" s="72"/>
      <c r="V88" s="72"/>
      <c r="W88" s="72"/>
      <c r="X88" s="431">
        <f t="shared" si="29"/>
        <v>0</v>
      </c>
      <c r="Y88" s="458"/>
      <c r="Z88" s="459"/>
      <c r="AA88" s="460"/>
      <c r="AB88" s="60">
        <f t="shared" si="33"/>
        <v>0</v>
      </c>
      <c r="AC88" s="45">
        <f t="shared" si="32"/>
        <v>0</v>
      </c>
    </row>
    <row r="89" spans="1:29" x14ac:dyDescent="0.25">
      <c r="A89" s="490"/>
      <c r="B89" s="95"/>
      <c r="C89" s="64"/>
      <c r="D89" s="87"/>
      <c r="E89" s="65"/>
      <c r="F89" s="66"/>
      <c r="G89" s="77"/>
      <c r="H89" s="72"/>
      <c r="I89" s="82"/>
      <c r="J89" s="69"/>
      <c r="K89" s="459"/>
      <c r="L89" s="459"/>
      <c r="M89" s="459"/>
      <c r="N89" s="461"/>
      <c r="O89" s="427" t="str">
        <f>IF(OR(I89="",F89=Paramétrage!$C$9,F89=Paramétrage!$C$12,F89=Paramétrage!$C$15,F89=Paramétrage!$C$18,F89=[1]Paramétrage!$C$23,F89=Paramétrage!$C$25,J89="Mut+ext"),"",ROUNDUP(H89/I89,0))</f>
        <v/>
      </c>
      <c r="P89" s="46">
        <f>IF(F89="",0,IF(OR(J89="Mut+ext",VLOOKUP(F89,Paramétrage!$C$6:$E$27,2,0)=0),0,IF(I89="","saisir capacité",G89*O89*VLOOKUP(F89,Paramétrage!$C$6:$E$27,2,0))))</f>
        <v>0</v>
      </c>
      <c r="Q89" s="68"/>
      <c r="R89" s="44">
        <f t="shared" si="30"/>
        <v>0</v>
      </c>
      <c r="S89" s="61">
        <f>IF(F89="",0,IF(ISERROR(Q89+P89*VLOOKUP(F89,Paramétrage!$C$6:$E$27,3,0))=TRUE,R89,Q89+P89*VLOOKUP(F89,Paramétrage!$C$6:$E$27,3,0)))</f>
        <v>0</v>
      </c>
      <c r="T89" s="72"/>
      <c r="U89" s="72"/>
      <c r="V89" s="72"/>
      <c r="W89" s="72"/>
      <c r="X89" s="431">
        <f t="shared" si="29"/>
        <v>0</v>
      </c>
      <c r="Y89" s="458"/>
      <c r="Z89" s="459"/>
      <c r="AA89" s="460"/>
      <c r="AB89" s="60">
        <f t="shared" si="33"/>
        <v>0</v>
      </c>
      <c r="AC89" s="45">
        <f t="shared" si="32"/>
        <v>0</v>
      </c>
    </row>
    <row r="90" spans="1:29" x14ac:dyDescent="0.25">
      <c r="A90" s="490"/>
      <c r="B90" s="95"/>
      <c r="C90" s="64"/>
      <c r="D90" s="87"/>
      <c r="E90" s="65"/>
      <c r="F90" s="66"/>
      <c r="G90" s="77"/>
      <c r="H90" s="72"/>
      <c r="I90" s="82"/>
      <c r="J90" s="69"/>
      <c r="K90" s="459"/>
      <c r="L90" s="459"/>
      <c r="M90" s="459"/>
      <c r="N90" s="461"/>
      <c r="O90" s="427" t="str">
        <f>IF(OR(I90="",F90=Paramétrage!$C$9,F90=Paramétrage!$C$12,F90=Paramétrage!$C$15,F90=Paramétrage!$C$18,F90=[1]Paramétrage!$C$23,F90=Paramétrage!$C$25,J90="Mut+ext"),"",ROUNDUP(H90/I90,0))</f>
        <v/>
      </c>
      <c r="P90" s="46">
        <f>IF(F90="",0,IF(OR(J90="Mut+ext",VLOOKUP(F90,Paramétrage!$C$6:$E$27,2,0)=0),0,IF(I90="","saisir capacité",G90*O90*VLOOKUP(F90,Paramétrage!$C$6:$E$27,2,0))))</f>
        <v>0</v>
      </c>
      <c r="Q90" s="68"/>
      <c r="R90" s="44">
        <f t="shared" si="30"/>
        <v>0</v>
      </c>
      <c r="S90" s="61">
        <f>IF(F90="",0,IF(ISERROR(Q90+P90*VLOOKUP(F90,Paramétrage!$C$6:$E$27,3,0))=TRUE,R90,Q90+P90*VLOOKUP(F90,Paramétrage!$C$6:$E$27,3,0)))</f>
        <v>0</v>
      </c>
      <c r="T90" s="72"/>
      <c r="U90" s="72"/>
      <c r="V90" s="72"/>
      <c r="W90" s="72"/>
      <c r="X90" s="431">
        <f t="shared" si="29"/>
        <v>0</v>
      </c>
      <c r="Y90" s="458"/>
      <c r="Z90" s="459"/>
      <c r="AA90" s="460"/>
      <c r="AB90" s="60">
        <f t="shared" si="33"/>
        <v>0</v>
      </c>
      <c r="AC90" s="45">
        <f t="shared" si="32"/>
        <v>0</v>
      </c>
    </row>
    <row r="91" spans="1:29" x14ac:dyDescent="0.25">
      <c r="A91" s="490"/>
      <c r="B91" s="95"/>
      <c r="C91" s="64"/>
      <c r="D91" s="87"/>
      <c r="E91" s="65"/>
      <c r="F91" s="66"/>
      <c r="G91" s="77"/>
      <c r="H91" s="72"/>
      <c r="I91" s="82"/>
      <c r="J91" s="69"/>
      <c r="K91" s="459"/>
      <c r="L91" s="459"/>
      <c r="M91" s="459"/>
      <c r="N91" s="461"/>
      <c r="O91" s="427" t="str">
        <f>IF(OR(I91="",F91=Paramétrage!$C$9,F91=Paramétrage!$C$12,F91=Paramétrage!$C$15,F91=Paramétrage!$C$18,F91=[1]Paramétrage!$C$23,F91=Paramétrage!$C$25,J91="Mut+ext"),"",ROUNDUP(H91/I91,0))</f>
        <v/>
      </c>
      <c r="P91" s="46">
        <f>IF(F91="",0,IF(OR(J91="Mut+ext",VLOOKUP(F91,Paramétrage!$C$6:$E$27,2,0)=0),0,IF(I91="","saisir capacité",G91*O91*VLOOKUP(F91,Paramétrage!$C$6:$E$27,2,0))))</f>
        <v>0</v>
      </c>
      <c r="Q91" s="68"/>
      <c r="R91" s="44">
        <f t="shared" si="30"/>
        <v>0</v>
      </c>
      <c r="S91" s="61">
        <f>IF(F91="",0,IF(ISERROR(Q91+P91*VLOOKUP(F91,Paramétrage!$C$6:$E$27,3,0))=TRUE,R91,Q91+P91*VLOOKUP(F91,Paramétrage!$C$6:$E$27,3,0)))</f>
        <v>0</v>
      </c>
      <c r="T91" s="72"/>
      <c r="U91" s="72"/>
      <c r="V91" s="72"/>
      <c r="W91" s="72"/>
      <c r="X91" s="431">
        <f t="shared" si="29"/>
        <v>0</v>
      </c>
      <c r="Y91" s="458"/>
      <c r="Z91" s="459"/>
      <c r="AA91" s="460"/>
      <c r="AB91" s="60">
        <f t="shared" si="33"/>
        <v>0</v>
      </c>
      <c r="AC91" s="45">
        <f t="shared" si="32"/>
        <v>0</v>
      </c>
    </row>
    <row r="92" spans="1:29" x14ac:dyDescent="0.25">
      <c r="A92" s="490"/>
      <c r="B92" s="95"/>
      <c r="C92" s="64"/>
      <c r="D92" s="87"/>
      <c r="E92" s="65"/>
      <c r="F92" s="66"/>
      <c r="G92" s="77"/>
      <c r="H92" s="72"/>
      <c r="I92" s="82"/>
      <c r="J92" s="69"/>
      <c r="K92" s="459"/>
      <c r="L92" s="459"/>
      <c r="M92" s="459"/>
      <c r="N92" s="461"/>
      <c r="O92" s="427" t="str">
        <f>IF(OR(I92="",F92=Paramétrage!$C$9,F92=Paramétrage!$C$12,F92=Paramétrage!$C$15,F92=Paramétrage!$C$18,F92=[1]Paramétrage!$C$23,F92=Paramétrage!$C$25,J92="Mut+ext"),"",ROUNDUP(H92/I92,0))</f>
        <v/>
      </c>
      <c r="P92" s="46">
        <f>IF(F92="",0,IF(OR(J92="Mut+ext",VLOOKUP(F92,Paramétrage!$C$6:$E$27,2,0)=0),0,IF(I92="","saisir capacité",G92*O92*VLOOKUP(F92,Paramétrage!$C$6:$E$27,2,0))))</f>
        <v>0</v>
      </c>
      <c r="Q92" s="68"/>
      <c r="R92" s="44">
        <f t="shared" si="30"/>
        <v>0</v>
      </c>
      <c r="S92" s="61">
        <f>IF(F92="",0,IF(ISERROR(Q92+P92*VLOOKUP(F92,Paramétrage!$C$6:$E$27,3,0))=TRUE,R92,Q92+P92*VLOOKUP(F92,Paramétrage!$C$6:$E$27,3,0)))</f>
        <v>0</v>
      </c>
      <c r="T92" s="72"/>
      <c r="U92" s="72"/>
      <c r="V92" s="72"/>
      <c r="W92" s="72"/>
      <c r="X92" s="431">
        <f t="shared" si="29"/>
        <v>0</v>
      </c>
      <c r="Y92" s="458"/>
      <c r="Z92" s="459"/>
      <c r="AA92" s="460"/>
      <c r="AB92" s="60">
        <f t="shared" si="33"/>
        <v>0</v>
      </c>
      <c r="AC92" s="45">
        <f t="shared" si="32"/>
        <v>0</v>
      </c>
    </row>
    <row r="93" spans="1:29" x14ac:dyDescent="0.25">
      <c r="A93" s="490"/>
      <c r="B93" s="95"/>
      <c r="C93" s="64"/>
      <c r="D93" s="87"/>
      <c r="E93" s="65"/>
      <c r="F93" s="66"/>
      <c r="G93" s="77"/>
      <c r="H93" s="72"/>
      <c r="I93" s="82"/>
      <c r="J93" s="69"/>
      <c r="K93" s="459"/>
      <c r="L93" s="459"/>
      <c r="M93" s="459"/>
      <c r="N93" s="461"/>
      <c r="O93" s="427" t="str">
        <f>IF(OR(I93="",F93=Paramétrage!$C$9,F93=Paramétrage!$C$12,F93=Paramétrage!$C$15,F93=Paramétrage!$C$18,F93=[1]Paramétrage!$C$23,F93=Paramétrage!$C$25,J93="Mut+ext"),"",ROUNDUP(H93/I93,0))</f>
        <v/>
      </c>
      <c r="P93" s="46">
        <f>IF(F93="",0,IF(OR(J93="Mut+ext",VLOOKUP(F93,Paramétrage!$C$6:$E$27,2,0)=0),0,IF(I93="","saisir capacité",G93*O93*VLOOKUP(F93,Paramétrage!$C$6:$E$27,2,0))))</f>
        <v>0</v>
      </c>
      <c r="Q93" s="68"/>
      <c r="R93" s="44">
        <f t="shared" si="30"/>
        <v>0</v>
      </c>
      <c r="S93" s="61">
        <f>IF(F93="",0,IF(ISERROR(Q93+P93*VLOOKUP(F93,Paramétrage!$C$6:$E$27,3,0))=TRUE,R93,Q93+P93*VLOOKUP(F93,Paramétrage!$C$6:$E$27,3,0)))</f>
        <v>0</v>
      </c>
      <c r="T93" s="72"/>
      <c r="U93" s="72"/>
      <c r="V93" s="72"/>
      <c r="W93" s="72"/>
      <c r="X93" s="431">
        <f t="shared" si="29"/>
        <v>0</v>
      </c>
      <c r="Y93" s="458"/>
      <c r="Z93" s="459"/>
      <c r="AA93" s="460"/>
      <c r="AB93" s="60">
        <f t="shared" si="33"/>
        <v>0</v>
      </c>
      <c r="AC93" s="45">
        <f t="shared" si="32"/>
        <v>0</v>
      </c>
    </row>
    <row r="94" spans="1:29" x14ac:dyDescent="0.25">
      <c r="A94" s="490"/>
      <c r="B94" s="95"/>
      <c r="C94" s="64"/>
      <c r="D94" s="87"/>
      <c r="E94" s="65"/>
      <c r="F94" s="66"/>
      <c r="G94" s="77"/>
      <c r="H94" s="72"/>
      <c r="I94" s="82"/>
      <c r="J94" s="69"/>
      <c r="K94" s="459"/>
      <c r="L94" s="459"/>
      <c r="M94" s="459"/>
      <c r="N94" s="461"/>
      <c r="O94" s="427" t="str">
        <f>IF(OR(I94="",F94=Paramétrage!$C$9,F94=Paramétrage!$C$12,F94=Paramétrage!$C$15,F94=Paramétrage!$C$18,F94=[1]Paramétrage!$C$23,F94=Paramétrage!$C$25,J94="Mut+ext"),"",ROUNDUP(H94/I94,0))</f>
        <v/>
      </c>
      <c r="P94" s="46">
        <f>IF(F94="",0,IF(OR(J94="Mut+ext",VLOOKUP(F94,Paramétrage!$C$6:$E$27,2,0)=0),0,IF(I94="","saisir capacité",G94*O94*VLOOKUP(F94,Paramétrage!$C$6:$E$27,2,0))))</f>
        <v>0</v>
      </c>
      <c r="Q94" s="68"/>
      <c r="R94" s="44">
        <f t="shared" si="30"/>
        <v>0</v>
      </c>
      <c r="S94" s="61">
        <f>IF(F94="",0,IF(ISERROR(Q94+P94*VLOOKUP(F94,Paramétrage!$C$6:$E$27,3,0))=TRUE,R94,Q94+P94*VLOOKUP(F94,Paramétrage!$C$6:$E$27,3,0)))</f>
        <v>0</v>
      </c>
      <c r="T94" s="72"/>
      <c r="U94" s="72"/>
      <c r="V94" s="72"/>
      <c r="W94" s="72"/>
      <c r="X94" s="431">
        <f t="shared" si="29"/>
        <v>0</v>
      </c>
      <c r="Y94" s="458"/>
      <c r="Z94" s="459"/>
      <c r="AA94" s="460"/>
      <c r="AB94" s="60">
        <f>IF(B94="",0,IF(D94="",0,IF(SUMIF(B92:B138,B94,H92:H138)=0,0,IF(D94="Obligatoire",AC94/H94,IF(E94="",AC94/SUMIF(B92:B138,B94,H92:H138),AC94/(SUMIF(B92:B138,B94,H92:H138)/E94))))))</f>
        <v>0</v>
      </c>
      <c r="AC94" s="45">
        <f t="shared" si="32"/>
        <v>0</v>
      </c>
    </row>
    <row r="95" spans="1:29" x14ac:dyDescent="0.25">
      <c r="A95" s="490"/>
      <c r="B95" s="95"/>
      <c r="C95" s="64"/>
      <c r="D95" s="87"/>
      <c r="E95" s="65"/>
      <c r="F95" s="66"/>
      <c r="G95" s="77"/>
      <c r="H95" s="72"/>
      <c r="I95" s="82"/>
      <c r="J95" s="69"/>
      <c r="K95" s="459"/>
      <c r="L95" s="459"/>
      <c r="M95" s="459"/>
      <c r="N95" s="461"/>
      <c r="O95" s="427" t="str">
        <f>IF(OR(I95="",F95=Paramétrage!$C$9,F95=Paramétrage!$C$12,F95=Paramétrage!$C$15,F95=Paramétrage!$C$18,F95=[1]Paramétrage!$C$23,F95=Paramétrage!$C$25,J95="Mut+ext"),"",ROUNDUP(H95/I95,0))</f>
        <v/>
      </c>
      <c r="P95" s="46">
        <f>IF(F95="",0,IF(OR(J95="Mut+ext",VLOOKUP(F95,Paramétrage!$C$6:$E$27,2,0)=0),0,IF(I95="","saisir capacité",G95*O95*VLOOKUP(F95,Paramétrage!$C$6:$E$27,2,0))))</f>
        <v>0</v>
      </c>
      <c r="Q95" s="68"/>
      <c r="R95" s="44">
        <f t="shared" si="28"/>
        <v>0</v>
      </c>
      <c r="S95" s="61">
        <f>IF(F95="",0,IF(ISERROR(Q95+P95*VLOOKUP(F95,Paramétrage!$C$6:$E$27,3,0))=TRUE,R95,Q95+P95*VLOOKUP(F95,Paramétrage!$C$6:$E$27,3,0)))</f>
        <v>0</v>
      </c>
      <c r="T95" s="72"/>
      <c r="U95" s="72"/>
      <c r="V95" s="72"/>
      <c r="W95" s="72"/>
      <c r="X95" s="431">
        <f t="shared" si="29"/>
        <v>0</v>
      </c>
      <c r="Y95" s="458"/>
      <c r="Z95" s="459"/>
      <c r="AA95" s="460"/>
      <c r="AB95" s="60">
        <f>IF(B95="",0,IF(D95="",0,IF(SUMIF(B79:B98,B95,H79:H98)=0,0,IF(D95="Obligatoire",AC95/H95,IF(E95="",AC95/SUMIF(B79:B98,B95,H79:H98),AC95/(SUMIF(B79:B98,B95,H79:H98)/E95))))))</f>
        <v>0</v>
      </c>
      <c r="AC95" s="45">
        <f>G95*H95</f>
        <v>0</v>
      </c>
    </row>
    <row r="96" spans="1:29" x14ac:dyDescent="0.25">
      <c r="A96" s="490"/>
      <c r="B96" s="95"/>
      <c r="C96" s="64"/>
      <c r="D96" s="87"/>
      <c r="E96" s="65"/>
      <c r="F96" s="66"/>
      <c r="G96" s="77"/>
      <c r="H96" s="72"/>
      <c r="I96" s="82"/>
      <c r="J96" s="69"/>
      <c r="K96" s="459"/>
      <c r="L96" s="459"/>
      <c r="M96" s="459"/>
      <c r="N96" s="461"/>
      <c r="O96" s="427" t="str">
        <f>IF(OR(I96="",F96=Paramétrage!$C$9,F96=Paramétrage!$C$12,F96=Paramétrage!$C$15,F96=Paramétrage!$C$18,F96=[1]Paramétrage!$C$23,F96=Paramétrage!$C$25,J96="Mut+ext"),"",ROUNDUP(H96/I96,0))</f>
        <v/>
      </c>
      <c r="P96" s="46">
        <f>IF(F96="",0,IF(OR(J96="Mut+ext",VLOOKUP(F96,Paramétrage!$C$6:$E$27,2,0)=0),0,IF(I96="","saisir capacité",G96*O96*VLOOKUP(F96,Paramétrage!$C$6:$E$27,2,0))))</f>
        <v>0</v>
      </c>
      <c r="Q96" s="68"/>
      <c r="R96" s="44">
        <f t="shared" si="28"/>
        <v>0</v>
      </c>
      <c r="S96" s="61">
        <f>IF(F96="",0,IF(ISERROR(Q96+P96*VLOOKUP(F96,Paramétrage!$C$6:$E$27,3,0))=TRUE,R96,Q96+P96*VLOOKUP(F96,Paramétrage!$C$6:$E$27,3,0)))</f>
        <v>0</v>
      </c>
      <c r="T96" s="74"/>
      <c r="U96" s="74"/>
      <c r="V96" s="74"/>
      <c r="W96" s="74"/>
      <c r="X96" s="431">
        <f t="shared" si="29"/>
        <v>0</v>
      </c>
      <c r="Y96" s="458"/>
      <c r="Z96" s="459"/>
      <c r="AA96" s="460"/>
      <c r="AB96" s="60">
        <f>IF(B96="",0,IF(D96="",0,IF(SUMIF(B79:B98,B96,H79:H98)=0,0,IF(D96="Obligatoire",AC96/H96,IF(E96="",AC96/SUMIF(B79:B98,B96,H79:H98),AC96/(SUMIF(B79:B98,B96,H79:H98)/E96))))))</f>
        <v>0</v>
      </c>
      <c r="AC96" s="45">
        <f>G96*H96</f>
        <v>0</v>
      </c>
    </row>
    <row r="97" spans="1:29" x14ac:dyDescent="0.25">
      <c r="A97" s="490"/>
      <c r="B97" s="95"/>
      <c r="C97" s="64"/>
      <c r="D97" s="87"/>
      <c r="E97" s="65"/>
      <c r="F97" s="66"/>
      <c r="G97" s="77"/>
      <c r="H97" s="72"/>
      <c r="I97" s="82"/>
      <c r="J97" s="69"/>
      <c r="K97" s="459"/>
      <c r="L97" s="459"/>
      <c r="M97" s="459"/>
      <c r="N97" s="461"/>
      <c r="O97" s="427" t="str">
        <f>IF(OR(I97="",F97=Paramétrage!$C$9,F97=Paramétrage!$C$12,F97=Paramétrage!$C$15,F97=Paramétrage!$C$18,F97=[1]Paramétrage!$C$23,F97=Paramétrage!$C$25,J97="Mut+ext"),"",ROUNDUP(H97/I97,0))</f>
        <v/>
      </c>
      <c r="P97" s="46">
        <f>IF(F97="",0,IF(OR(J97="Mut+ext",VLOOKUP(F97,Paramétrage!$C$6:$E$27,2,0)=0),0,IF(I97="","saisir capacité",G97*O97*VLOOKUP(F97,Paramétrage!$C$6:$E$27,2,0))))</f>
        <v>0</v>
      </c>
      <c r="Q97" s="68"/>
      <c r="R97" s="44">
        <f t="shared" si="28"/>
        <v>0</v>
      </c>
      <c r="S97" s="61">
        <f>IF(F97="",0,IF(ISERROR(Q97+P97*VLOOKUP(F97,Paramétrage!$C$6:$E$27,3,0))=TRUE,R97,Q97+P97*VLOOKUP(F97,Paramétrage!$C$6:$E$27,3,0)))</f>
        <v>0</v>
      </c>
      <c r="T97" s="73"/>
      <c r="U97" s="73"/>
      <c r="V97" s="73"/>
      <c r="W97" s="73"/>
      <c r="X97" s="431">
        <f t="shared" si="29"/>
        <v>0</v>
      </c>
      <c r="Y97" s="458"/>
      <c r="Z97" s="459"/>
      <c r="AA97" s="460"/>
      <c r="AB97" s="60">
        <f>IF(B97="",0,IF(D97="",0,IF(SUMIF(B79:B98,B97,H79:H98)=0,0,IF(D97="Obligatoire",AC97/H97,IF(E97="",AC97/SUMIF(B79:B98,B97,H79:H98),AC97/(SUMIF(B79:B98,B97,H79:H98)/E97))))))</f>
        <v>0</v>
      </c>
      <c r="AC97" s="45">
        <f>G97*H97</f>
        <v>0</v>
      </c>
    </row>
    <row r="98" spans="1:29" x14ac:dyDescent="0.25">
      <c r="A98" s="490"/>
      <c r="B98" s="95"/>
      <c r="C98" s="64"/>
      <c r="D98" s="87"/>
      <c r="E98" s="65"/>
      <c r="F98" s="66"/>
      <c r="G98" s="77"/>
      <c r="H98" s="72"/>
      <c r="I98" s="82"/>
      <c r="J98" s="69"/>
      <c r="K98" s="459"/>
      <c r="L98" s="459"/>
      <c r="M98" s="459"/>
      <c r="N98" s="461"/>
      <c r="O98" s="427" t="str">
        <f>IF(OR(I98="",F98=Paramétrage!$C$9,F98=Paramétrage!$C$12,F98=Paramétrage!$C$15,F98=Paramétrage!$C$18,F98=[1]Paramétrage!$C$23,F98=Paramétrage!$C$25,J98="Mut+ext"),"",ROUNDUP(H98/I98,0))</f>
        <v/>
      </c>
      <c r="P98" s="46">
        <f>IF(F98="",0,IF(OR(J98="Mut+ext",VLOOKUP(F98,Paramétrage!$C$6:$E$27,2,0)=0),0,IF(I98="","saisir capacité",G98*O98*VLOOKUP(F98,Paramétrage!$C$6:$E$27,2,0))))</f>
        <v>0</v>
      </c>
      <c r="Q98" s="68"/>
      <c r="R98" s="44">
        <f t="shared" si="28"/>
        <v>0</v>
      </c>
      <c r="S98" s="61">
        <f>IF(F98="",0,IF(ISERROR(Q98+P98*VLOOKUP(F98,Paramétrage!$C$6:$E$27,3,0))=TRUE,R98,Q98+P98*VLOOKUP(F98,Paramétrage!$C$6:$E$27,3,0)))</f>
        <v>0</v>
      </c>
      <c r="T98" s="72"/>
      <c r="U98" s="72"/>
      <c r="V98" s="72"/>
      <c r="W98" s="72"/>
      <c r="X98" s="431">
        <f t="shared" si="29"/>
        <v>0</v>
      </c>
      <c r="Y98" s="458"/>
      <c r="Z98" s="459"/>
      <c r="AA98" s="460"/>
      <c r="AB98" s="60">
        <f>IF(B98="",0,IF(D98="",0,IF(SUMIF(B79:B98,B98,H79:H98)=0,0,IF(D98="Obligatoire",AC98/H98,IF(E98="",AC98/SUMIF(B79:B98,B98,H79:H98),AC98/(SUMIF(B79:B98,B98,H79:H98)/E98))))))</f>
        <v>0</v>
      </c>
      <c r="AC98" s="45">
        <f>G98*H98</f>
        <v>0</v>
      </c>
    </row>
    <row r="99" spans="1:29" ht="16.2" thickBot="1" x14ac:dyDescent="0.3">
      <c r="A99" s="489"/>
      <c r="B99" s="97"/>
      <c r="C99" s="49"/>
      <c r="D99" s="49"/>
      <c r="E99" s="50"/>
      <c r="F99" s="47"/>
      <c r="G99" s="84">
        <f>AB99</f>
        <v>0</v>
      </c>
      <c r="H99" s="78">
        <f>SUM(H79:H98)</f>
        <v>0</v>
      </c>
      <c r="I99" s="83"/>
      <c r="J99" s="89"/>
      <c r="K99" s="106"/>
      <c r="L99" s="106"/>
      <c r="M99" s="106"/>
      <c r="N99" s="107"/>
      <c r="O99" s="51"/>
      <c r="P99" s="108">
        <f>SUM(P79:P98)</f>
        <v>0</v>
      </c>
      <c r="Q99" s="47">
        <v>0</v>
      </c>
      <c r="R99" s="52">
        <f t="shared" ref="R99" si="34">P99+Q99</f>
        <v>0</v>
      </c>
      <c r="S99" s="115">
        <f>SUM(S79:S98)</f>
        <v>0</v>
      </c>
      <c r="T99" s="417"/>
      <c r="U99" s="417"/>
      <c r="V99" s="417"/>
      <c r="W99" s="417"/>
      <c r="X99" s="433"/>
      <c r="Y99" s="110"/>
      <c r="Z99" s="111"/>
      <c r="AA99" s="112"/>
      <c r="AB99" s="113">
        <f>SUM(AB79:AB98)</f>
        <v>0</v>
      </c>
      <c r="AC99" s="59">
        <f>SUM(AC79:AC98)</f>
        <v>0</v>
      </c>
    </row>
    <row r="100" spans="1:29" ht="15.6" customHeight="1" x14ac:dyDescent="0.25">
      <c r="A100" s="488" t="s">
        <v>123</v>
      </c>
      <c r="B100" s="94"/>
      <c r="C100" s="98"/>
      <c r="D100" s="86"/>
      <c r="E100" s="62"/>
      <c r="F100" s="63"/>
      <c r="G100" s="76"/>
      <c r="H100" s="71"/>
      <c r="I100" s="99"/>
      <c r="J100" s="88"/>
      <c r="K100" s="463"/>
      <c r="L100" s="463"/>
      <c r="M100" s="463"/>
      <c r="N100" s="475"/>
      <c r="O100" s="427" t="str">
        <f>IF(OR(I100="",F100=Paramétrage!$C$9,F100=Paramétrage!$C$12,F100=Paramétrage!$C$15,F100=Paramétrage!$C$18,F100=[1]Paramétrage!$C$23,F100=Paramétrage!$C$25,J100="Mut+ext"),"",ROUNDUP(H100/I100,0))</f>
        <v/>
      </c>
      <c r="P100" s="100">
        <f>IF(F100="",0,IF(OR(J100="Mut+ext",VLOOKUP(F100,Paramétrage!$C$6:$E$27,2,0)=0),0,IF(I100="","saisir capacité",G100*O100*VLOOKUP(F100,Paramétrage!$C$6:$E$27,2,0))))</f>
        <v>0</v>
      </c>
      <c r="Q100" s="101"/>
      <c r="R100" s="102">
        <f t="shared" ref="R100:R119" si="35">IF(ISERROR(P100+Q100)=TRUE,P100,P100+Q100)</f>
        <v>0</v>
      </c>
      <c r="S100" s="103">
        <f>IF(F100="",0,IF(ISERROR(Q100+P100*VLOOKUP(F100,Paramétrage!$C$6:$E$27,3,0))=TRUE,R100,Q100+P100*VLOOKUP(F100,Paramétrage!$C$6:$E$27,3,0)))</f>
        <v>0</v>
      </c>
      <c r="T100" s="71"/>
      <c r="U100" s="71"/>
      <c r="V100" s="71"/>
      <c r="W100" s="71"/>
      <c r="X100" s="430">
        <f>SUM(T100:W100)</f>
        <v>0</v>
      </c>
      <c r="Y100" s="462"/>
      <c r="Z100" s="463"/>
      <c r="AA100" s="464"/>
      <c r="AB100" s="104">
        <f>IF(B100="",0,IF(D100="",0,IF(SUMIF(B100:B119,B100,H100:H119)=0,0,IF(D100="Obligatoire",AC100/H100,IF(E100="",AC100/SUMIF(B100:B119,B100,H100:H119),AC100/(SUMIF(B100:B119,B100,H100:H119)/E100))))))</f>
        <v>0</v>
      </c>
      <c r="AC100" s="105">
        <f>G100*H100</f>
        <v>0</v>
      </c>
    </row>
    <row r="101" spans="1:29" x14ac:dyDescent="0.25">
      <c r="A101" s="490"/>
      <c r="B101" s="95"/>
      <c r="C101" s="64"/>
      <c r="D101" s="87"/>
      <c r="E101" s="65"/>
      <c r="F101" s="66"/>
      <c r="G101" s="77"/>
      <c r="H101" s="72"/>
      <c r="I101" s="82"/>
      <c r="J101" s="69"/>
      <c r="K101" s="459"/>
      <c r="L101" s="459"/>
      <c r="M101" s="459"/>
      <c r="N101" s="461"/>
      <c r="O101" s="427" t="str">
        <f>IF(OR(I101="",F101=Paramétrage!$C$9,F101=Paramétrage!$C$12,F101=Paramétrage!$C$15,F101=Paramétrage!$C$18,F101=[1]Paramétrage!$C$23,F101=Paramétrage!$C$25,J101="Mut+ext"),"",ROUNDUP(H101/I101,0))</f>
        <v/>
      </c>
      <c r="P101" s="46">
        <f>IF(F101="",0,IF(OR(J101="Mut+ext",VLOOKUP(F101,Paramétrage!$C$6:$E$27,2,0)=0),0,IF(I101="","saisir capacité",G101*O101*VLOOKUP(F101,Paramétrage!$C$6:$E$27,2,0))))</f>
        <v>0</v>
      </c>
      <c r="Q101" s="68"/>
      <c r="R101" s="44">
        <f t="shared" si="35"/>
        <v>0</v>
      </c>
      <c r="S101" s="61">
        <f>IF(F101="",0,IF(ISERROR(Q101+P101*VLOOKUP(F101,Paramétrage!$C$6:$E$27,3,0))=TRUE,R101,Q101+P101*VLOOKUP(F101,Paramétrage!$C$6:$E$27,3,0)))</f>
        <v>0</v>
      </c>
      <c r="T101" s="72"/>
      <c r="U101" s="72"/>
      <c r="V101" s="72"/>
      <c r="W101" s="72"/>
      <c r="X101" s="431">
        <f t="shared" ref="X101:X119" si="36">SUM(T101:W101)</f>
        <v>0</v>
      </c>
      <c r="Y101" s="458"/>
      <c r="Z101" s="459"/>
      <c r="AA101" s="460"/>
      <c r="AB101" s="60">
        <f t="shared" ref="AB101:AB104" si="37">IF(B101="",0,IF(D101="",0,IF(SUMIF(B100:B119,B101,H100:H119)=0,0,IF(D101="Obligatoire",AC101/H101,IF(E101="",AC101/SUMIF(B100:B119,B101,H100:H119),AC101/(SUMIF(B100:B119,B101,H100:H119)/E101))))))</f>
        <v>0</v>
      </c>
      <c r="AC101" s="45">
        <f>G101*H101</f>
        <v>0</v>
      </c>
    </row>
    <row r="102" spans="1:29" x14ac:dyDescent="0.25">
      <c r="A102" s="490"/>
      <c r="B102" s="95"/>
      <c r="C102" s="64"/>
      <c r="D102" s="87"/>
      <c r="E102" s="65"/>
      <c r="F102" s="66"/>
      <c r="G102" s="77"/>
      <c r="H102" s="72"/>
      <c r="I102" s="82"/>
      <c r="J102" s="69"/>
      <c r="K102" s="459"/>
      <c r="L102" s="459"/>
      <c r="M102" s="459"/>
      <c r="N102" s="461"/>
      <c r="O102" s="427" t="str">
        <f>IF(OR(I102="",F102=Paramétrage!$C$9,F102=Paramétrage!$C$12,F102=Paramétrage!$C$15,F102=Paramétrage!$C$18,F102=[1]Paramétrage!$C$23,F102=Paramétrage!$C$25,J102="Mut+ext"),"",ROUNDUP(H102/I102,0))</f>
        <v/>
      </c>
      <c r="P102" s="46">
        <f>IF(F102="",0,IF(OR(J102="Mut+ext",VLOOKUP(F102,Paramétrage!$C$6:$E$27,2,0)=0),0,IF(I102="","saisir capacité",G102*O102*VLOOKUP(F102,Paramétrage!$C$6:$E$27,2,0))))</f>
        <v>0</v>
      </c>
      <c r="Q102" s="68"/>
      <c r="R102" s="44">
        <f t="shared" ref="R102:R113" si="38">IF(ISERROR(P102+Q102)=TRUE,P102,P102+Q102)</f>
        <v>0</v>
      </c>
      <c r="S102" s="61">
        <f>IF(F102="",0,IF(ISERROR(Q102+P102*VLOOKUP(F102,Paramétrage!$C$6:$E$27,3,0))=TRUE,R102,Q102+P102*VLOOKUP(F102,Paramétrage!$C$6:$E$27,3,0)))</f>
        <v>0</v>
      </c>
      <c r="T102" s="72"/>
      <c r="U102" s="72"/>
      <c r="V102" s="72"/>
      <c r="W102" s="72"/>
      <c r="X102" s="431">
        <f t="shared" si="36"/>
        <v>0</v>
      </c>
      <c r="Y102" s="458"/>
      <c r="Z102" s="459"/>
      <c r="AA102" s="460"/>
      <c r="AB102" s="60">
        <f t="shared" si="37"/>
        <v>0</v>
      </c>
      <c r="AC102" s="45">
        <f t="shared" ref="AC102:AC113" si="39">G102*H102</f>
        <v>0</v>
      </c>
    </row>
    <row r="103" spans="1:29" x14ac:dyDescent="0.25">
      <c r="A103" s="490"/>
      <c r="B103" s="95"/>
      <c r="C103" s="64"/>
      <c r="D103" s="87"/>
      <c r="E103" s="65"/>
      <c r="F103" s="66"/>
      <c r="G103" s="77"/>
      <c r="H103" s="72"/>
      <c r="I103" s="82"/>
      <c r="J103" s="69"/>
      <c r="K103" s="459"/>
      <c r="L103" s="459"/>
      <c r="M103" s="459"/>
      <c r="N103" s="461"/>
      <c r="O103" s="427" t="str">
        <f>IF(OR(I103="",F103=Paramétrage!$C$9,F103=Paramétrage!$C$12,F103=Paramétrage!$C$15,F103=Paramétrage!$C$18,F103=[1]Paramétrage!$C$23,F103=Paramétrage!$C$25,J103="Mut+ext"),"",ROUNDUP(H103/I103,0))</f>
        <v/>
      </c>
      <c r="P103" s="46">
        <f>IF(F103="",0,IF(OR(J103="Mut+ext",VLOOKUP(F103,Paramétrage!$C$6:$E$27,2,0)=0),0,IF(I103="","saisir capacité",G103*O103*VLOOKUP(F103,Paramétrage!$C$6:$E$27,2,0))))</f>
        <v>0</v>
      </c>
      <c r="Q103" s="68"/>
      <c r="R103" s="44">
        <f t="shared" si="38"/>
        <v>0</v>
      </c>
      <c r="S103" s="61">
        <f>IF(F103="",0,IF(ISERROR(Q103+P103*VLOOKUP(F103,Paramétrage!$C$6:$E$27,3,0))=TRUE,R103,Q103+P103*VLOOKUP(F103,Paramétrage!$C$6:$E$27,3,0)))</f>
        <v>0</v>
      </c>
      <c r="T103" s="72"/>
      <c r="U103" s="72"/>
      <c r="V103" s="72"/>
      <c r="W103" s="72"/>
      <c r="X103" s="431">
        <f t="shared" si="36"/>
        <v>0</v>
      </c>
      <c r="Y103" s="458"/>
      <c r="Z103" s="459"/>
      <c r="AA103" s="460"/>
      <c r="AB103" s="60">
        <f t="shared" si="37"/>
        <v>0</v>
      </c>
      <c r="AC103" s="45">
        <f t="shared" si="39"/>
        <v>0</v>
      </c>
    </row>
    <row r="104" spans="1:29" x14ac:dyDescent="0.25">
      <c r="A104" s="490"/>
      <c r="B104" s="95"/>
      <c r="C104" s="64"/>
      <c r="D104" s="87"/>
      <c r="E104" s="65"/>
      <c r="F104" s="66"/>
      <c r="G104" s="77"/>
      <c r="H104" s="72"/>
      <c r="I104" s="82"/>
      <c r="J104" s="69"/>
      <c r="K104" s="459"/>
      <c r="L104" s="459"/>
      <c r="M104" s="459"/>
      <c r="N104" s="461"/>
      <c r="O104" s="427" t="str">
        <f>IF(OR(I104="",F104=Paramétrage!$C$9,F104=Paramétrage!$C$12,F104=Paramétrage!$C$15,F104=Paramétrage!$C$18,F104=[1]Paramétrage!$C$23,F104=Paramétrage!$C$25,J104="Mut+ext"),"",ROUNDUP(H104/I104,0))</f>
        <v/>
      </c>
      <c r="P104" s="46">
        <f>IF(F104="",0,IF(OR(J104="Mut+ext",VLOOKUP(F104,Paramétrage!$C$6:$E$27,2,0)=0),0,IF(I104="","saisir capacité",G104*O104*VLOOKUP(F104,Paramétrage!$C$6:$E$27,2,0))))</f>
        <v>0</v>
      </c>
      <c r="Q104" s="68"/>
      <c r="R104" s="44">
        <f t="shared" si="38"/>
        <v>0</v>
      </c>
      <c r="S104" s="61">
        <f>IF(F104="",0,IF(ISERROR(Q104+P104*VLOOKUP(F104,Paramétrage!$C$6:$E$27,3,0))=TRUE,R104,Q104+P104*VLOOKUP(F104,Paramétrage!$C$6:$E$27,3,0)))</f>
        <v>0</v>
      </c>
      <c r="T104" s="72"/>
      <c r="U104" s="72"/>
      <c r="V104" s="72"/>
      <c r="W104" s="72"/>
      <c r="X104" s="431">
        <f t="shared" si="36"/>
        <v>0</v>
      </c>
      <c r="Y104" s="458"/>
      <c r="Z104" s="459"/>
      <c r="AA104" s="460"/>
      <c r="AB104" s="60">
        <f t="shared" si="37"/>
        <v>0</v>
      </c>
      <c r="AC104" s="45">
        <f t="shared" si="39"/>
        <v>0</v>
      </c>
    </row>
    <row r="105" spans="1:29" x14ac:dyDescent="0.25">
      <c r="A105" s="490"/>
      <c r="B105" s="95"/>
      <c r="C105" s="64"/>
      <c r="D105" s="87"/>
      <c r="E105" s="65"/>
      <c r="F105" s="66"/>
      <c r="G105" s="77"/>
      <c r="H105" s="72"/>
      <c r="I105" s="82"/>
      <c r="J105" s="69"/>
      <c r="K105" s="459"/>
      <c r="L105" s="459"/>
      <c r="M105" s="459"/>
      <c r="N105" s="461"/>
      <c r="O105" s="427" t="str">
        <f>IF(OR(I105="",F105=Paramétrage!$C$9,F105=Paramétrage!$C$12,F105=Paramétrage!$C$15,F105=Paramétrage!$C$18,F105=[1]Paramétrage!$C$23,F105=Paramétrage!$C$25,J105="Mut+ext"),"",ROUNDUP(H105/I105,0))</f>
        <v/>
      </c>
      <c r="P105" s="46">
        <f>IF(F105="",0,IF(OR(J105="Mut+ext",VLOOKUP(F105,Paramétrage!$C$6:$E$27,2,0)=0),0,IF(I105="","saisir capacité",G105*O105*VLOOKUP(F105,Paramétrage!$C$6:$E$27,2,0))))</f>
        <v>0</v>
      </c>
      <c r="Q105" s="68"/>
      <c r="R105" s="44">
        <f t="shared" si="38"/>
        <v>0</v>
      </c>
      <c r="S105" s="61">
        <f>IF(F105="",0,IF(ISERROR(Q105+P105*VLOOKUP(F105,Paramétrage!$C$6:$E$27,3,0))=TRUE,R105,Q105+P105*VLOOKUP(F105,Paramétrage!$C$6:$E$27,3,0)))</f>
        <v>0</v>
      </c>
      <c r="T105" s="72"/>
      <c r="U105" s="72"/>
      <c r="V105" s="72"/>
      <c r="W105" s="72"/>
      <c r="X105" s="431">
        <f t="shared" si="36"/>
        <v>0</v>
      </c>
      <c r="Y105" s="458"/>
      <c r="Z105" s="459"/>
      <c r="AA105" s="460"/>
      <c r="AB105" s="60">
        <f>IF(B105="",0,IF(D105="",0,IF(SUMIF(B104:B138,B105,H104:H138)=0,0,IF(D105="Obligatoire",AC105/H105,IF(E105="",AC105/SUMIF(B104:B138,B105,H104:H138),AC105/(SUMIF(B104:B138,B105,H104:H138)/E105))))))</f>
        <v>0</v>
      </c>
      <c r="AC105" s="45">
        <f t="shared" si="39"/>
        <v>0</v>
      </c>
    </row>
    <row r="106" spans="1:29" x14ac:dyDescent="0.25">
      <c r="A106" s="490"/>
      <c r="B106" s="95"/>
      <c r="C106" s="64"/>
      <c r="D106" s="87"/>
      <c r="E106" s="65"/>
      <c r="F106" s="66"/>
      <c r="G106" s="77"/>
      <c r="H106" s="72"/>
      <c r="I106" s="82"/>
      <c r="J106" s="69"/>
      <c r="K106" s="459"/>
      <c r="L106" s="459"/>
      <c r="M106" s="459"/>
      <c r="N106" s="461"/>
      <c r="O106" s="427" t="str">
        <f>IF(OR(I106="",F106=Paramétrage!$C$9,F106=Paramétrage!$C$12,F106=Paramétrage!$C$15,F106=Paramétrage!$C$18,F106=[1]Paramétrage!$C$23,F106=Paramétrage!$C$25,J106="Mut+ext"),"",ROUNDUP(H106/I106,0))</f>
        <v/>
      </c>
      <c r="P106" s="46">
        <f>IF(F106="",0,IF(OR(J106="Mut+ext",VLOOKUP(F106,Paramétrage!$C$6:$E$27,2,0)=0),0,IF(I106="","saisir capacité",G106*O106*VLOOKUP(F106,Paramétrage!$C$6:$E$27,2,0))))</f>
        <v>0</v>
      </c>
      <c r="Q106" s="68"/>
      <c r="R106" s="44">
        <f t="shared" si="38"/>
        <v>0</v>
      </c>
      <c r="S106" s="61">
        <f>IF(F106="",0,IF(ISERROR(Q106+P106*VLOOKUP(F106,Paramétrage!$C$6:$E$27,3,0))=TRUE,R106,Q106+P106*VLOOKUP(F106,Paramétrage!$C$6:$E$27,3,0)))</f>
        <v>0</v>
      </c>
      <c r="T106" s="72"/>
      <c r="U106" s="72"/>
      <c r="V106" s="72"/>
      <c r="W106" s="72"/>
      <c r="X106" s="431">
        <f t="shared" si="36"/>
        <v>0</v>
      </c>
      <c r="Y106" s="458"/>
      <c r="Z106" s="459"/>
      <c r="AA106" s="460"/>
      <c r="AB106" s="60">
        <f>IF(B106="",0,IF(D106="",0,IF(SUMIF(B105:B139,B106,H105:H139)=0,0,IF(D106="Obligatoire",AC106/H106,IF(E106="",AC106/SUMIF(B105:B139,B106,H105:H139),AC106/(SUMIF(B105:B139,B106,H105:H139)/E106))))))</f>
        <v>0</v>
      </c>
      <c r="AC106" s="45">
        <f t="shared" si="39"/>
        <v>0</v>
      </c>
    </row>
    <row r="107" spans="1:29" x14ac:dyDescent="0.25">
      <c r="A107" s="490"/>
      <c r="B107" s="95"/>
      <c r="C107" s="64"/>
      <c r="D107" s="87"/>
      <c r="E107" s="65"/>
      <c r="F107" s="66"/>
      <c r="G107" s="77"/>
      <c r="H107" s="72"/>
      <c r="I107" s="82"/>
      <c r="J107" s="69"/>
      <c r="K107" s="459"/>
      <c r="L107" s="459"/>
      <c r="M107" s="459"/>
      <c r="N107" s="461"/>
      <c r="O107" s="427" t="str">
        <f>IF(OR(I107="",F107=Paramétrage!$C$9,F107=Paramétrage!$C$12,F107=Paramétrage!$C$15,F107=Paramétrage!$C$18,F107=[1]Paramétrage!$C$23,F107=Paramétrage!$C$25,J107="Mut+ext"),"",ROUNDUP(H107/I107,0))</f>
        <v/>
      </c>
      <c r="P107" s="46">
        <f>IF(F107="",0,IF(OR(J107="Mut+ext",VLOOKUP(F107,Paramétrage!$C$6:$E$27,2,0)=0),0,IF(I107="","saisir capacité",G107*O107*VLOOKUP(F107,Paramétrage!$C$6:$E$27,2,0))))</f>
        <v>0</v>
      </c>
      <c r="Q107" s="68"/>
      <c r="R107" s="44">
        <f t="shared" si="38"/>
        <v>0</v>
      </c>
      <c r="S107" s="61">
        <f>IF(F107="",0,IF(ISERROR(Q107+P107*VLOOKUP(F107,Paramétrage!$C$6:$E$27,3,0))=TRUE,R107,Q107+P107*VLOOKUP(F107,Paramétrage!$C$6:$E$27,3,0)))</f>
        <v>0</v>
      </c>
      <c r="T107" s="72"/>
      <c r="U107" s="72"/>
      <c r="V107" s="72"/>
      <c r="W107" s="72"/>
      <c r="X107" s="431">
        <f t="shared" si="36"/>
        <v>0</v>
      </c>
      <c r="Y107" s="458"/>
      <c r="Z107" s="459"/>
      <c r="AA107" s="460"/>
      <c r="AB107" s="60">
        <f>IF(B107="",0,IF(D107="",0,IF(SUMIF(B106:B140,B107,H106:H140)=0,0,IF(D107="Obligatoire",AC107/H107,IF(E107="",AC107/SUMIF(B106:B140,B107,H106:H140),AC107/(SUMIF(B106:B140,B107,H106:H140)/E107))))))</f>
        <v>0</v>
      </c>
      <c r="AC107" s="45">
        <f t="shared" si="39"/>
        <v>0</v>
      </c>
    </row>
    <row r="108" spans="1:29" x14ac:dyDescent="0.25">
      <c r="A108" s="490"/>
      <c r="B108" s="95"/>
      <c r="C108" s="64"/>
      <c r="D108" s="87"/>
      <c r="E108" s="65"/>
      <c r="F108" s="66"/>
      <c r="G108" s="77"/>
      <c r="H108" s="72"/>
      <c r="I108" s="82"/>
      <c r="J108" s="69"/>
      <c r="K108" s="459"/>
      <c r="L108" s="459"/>
      <c r="M108" s="459"/>
      <c r="N108" s="461"/>
      <c r="O108" s="427" t="str">
        <f>IF(OR(I108="",F108=Paramétrage!$C$9,F108=Paramétrage!$C$12,F108=Paramétrage!$C$15,F108=Paramétrage!$C$18,F108=[1]Paramétrage!$C$23,F108=Paramétrage!$C$25,J108="Mut+ext"),"",ROUNDUP(H108/I108,0))</f>
        <v/>
      </c>
      <c r="P108" s="46">
        <f>IF(F108="",0,IF(OR(J108="Mut+ext",VLOOKUP(F108,Paramétrage!$C$6:$E$27,2,0)=0),0,IF(I108="","saisir capacité",G108*O108*VLOOKUP(F108,Paramétrage!$C$6:$E$27,2,0))))</f>
        <v>0</v>
      </c>
      <c r="Q108" s="68"/>
      <c r="R108" s="44">
        <f t="shared" si="38"/>
        <v>0</v>
      </c>
      <c r="S108" s="61">
        <f>IF(F108="",0,IF(ISERROR(Q108+P108*VLOOKUP(F108,Paramétrage!$C$6:$E$27,3,0))=TRUE,R108,Q108+P108*VLOOKUP(F108,Paramétrage!$C$6:$E$27,3,0)))</f>
        <v>0</v>
      </c>
      <c r="T108" s="72"/>
      <c r="U108" s="72"/>
      <c r="V108" s="72"/>
      <c r="W108" s="72"/>
      <c r="X108" s="431">
        <f t="shared" si="36"/>
        <v>0</v>
      </c>
      <c r="Y108" s="458"/>
      <c r="Z108" s="459"/>
      <c r="AA108" s="460"/>
      <c r="AB108" s="60">
        <f>IF(B108="",0,IF(D108="",0,IF(SUMIF(B107:B141,B108,H107:H141)=0,0,IF(D108="Obligatoire",AC108/H108,IF(E108="",AC108/SUMIF(B107:B141,B108,H107:H141),AC108/(SUMIF(B107:B141,B108,H107:H141)/E108))))))</f>
        <v>0</v>
      </c>
      <c r="AC108" s="45">
        <f t="shared" si="39"/>
        <v>0</v>
      </c>
    </row>
    <row r="109" spans="1:29" x14ac:dyDescent="0.25">
      <c r="A109" s="490"/>
      <c r="B109" s="95"/>
      <c r="C109" s="64"/>
      <c r="D109" s="87"/>
      <c r="E109" s="65"/>
      <c r="F109" s="66"/>
      <c r="G109" s="77"/>
      <c r="H109" s="72"/>
      <c r="I109" s="82"/>
      <c r="J109" s="69"/>
      <c r="K109" s="459"/>
      <c r="L109" s="459"/>
      <c r="M109" s="459"/>
      <c r="N109" s="461"/>
      <c r="O109" s="427" t="str">
        <f>IF(OR(I109="",F109=Paramétrage!$C$9,F109=Paramétrage!$C$12,F109=Paramétrage!$C$15,F109=Paramétrage!$C$18,F109=[1]Paramétrage!$C$23,F109=Paramétrage!$C$25,J109="Mut+ext"),"",ROUNDUP(H109/I109,0))</f>
        <v/>
      </c>
      <c r="P109" s="46">
        <f>IF(F109="",0,IF(OR(J109="Mut+ext",VLOOKUP(F109,Paramétrage!$C$6:$E$27,2,0)=0),0,IF(I109="","saisir capacité",G109*O109*VLOOKUP(F109,Paramétrage!$C$6:$E$27,2,0))))</f>
        <v>0</v>
      </c>
      <c r="Q109" s="68"/>
      <c r="R109" s="44">
        <f t="shared" si="38"/>
        <v>0</v>
      </c>
      <c r="S109" s="61">
        <f>IF(F109="",0,IF(ISERROR(Q109+P109*VLOOKUP(F109,Paramétrage!$C$6:$E$27,3,0))=TRUE,R109,Q109+P109*VLOOKUP(F109,Paramétrage!$C$6:$E$27,3,0)))</f>
        <v>0</v>
      </c>
      <c r="T109" s="72"/>
      <c r="U109" s="72"/>
      <c r="V109" s="72"/>
      <c r="W109" s="72"/>
      <c r="X109" s="431">
        <f t="shared" si="36"/>
        <v>0</v>
      </c>
      <c r="Y109" s="458"/>
      <c r="Z109" s="459"/>
      <c r="AA109" s="460"/>
      <c r="AB109" s="60">
        <f>IF(B109="",0,IF(D109="",0,IF(SUMIF(B108:B141,B109,H108:H141)=0,0,IF(D109="Obligatoire",AC109/H109,IF(E109="",AC109/SUMIF(B108:B141,B109,H108:H141),AC109/(SUMIF(B108:B141,B109,H108:H141)/E109))))))</f>
        <v>0</v>
      </c>
      <c r="AC109" s="45">
        <f t="shared" si="39"/>
        <v>0</v>
      </c>
    </row>
    <row r="110" spans="1:29" x14ac:dyDescent="0.25">
      <c r="A110" s="490"/>
      <c r="B110" s="95"/>
      <c r="C110" s="64"/>
      <c r="D110" s="87"/>
      <c r="E110" s="65"/>
      <c r="F110" s="66"/>
      <c r="G110" s="77"/>
      <c r="H110" s="72"/>
      <c r="I110" s="82"/>
      <c r="J110" s="69"/>
      <c r="K110" s="459"/>
      <c r="L110" s="459"/>
      <c r="M110" s="459"/>
      <c r="N110" s="461"/>
      <c r="O110" s="427" t="str">
        <f>IF(OR(I110="",F110=Paramétrage!$C$9,F110=Paramétrage!$C$12,F110=Paramétrage!$C$15,F110=Paramétrage!$C$18,F110=[1]Paramétrage!$C$23,F110=Paramétrage!$C$25,J110="Mut+ext"),"",ROUNDUP(H110/I110,0))</f>
        <v/>
      </c>
      <c r="P110" s="46">
        <f>IF(F110="",0,IF(OR(J110="Mut+ext",VLOOKUP(F110,Paramétrage!$C$6:$E$27,2,0)=0),0,IF(I110="","saisir capacité",G110*O110*VLOOKUP(F110,Paramétrage!$C$6:$E$27,2,0))))</f>
        <v>0</v>
      </c>
      <c r="Q110" s="68"/>
      <c r="R110" s="44">
        <f t="shared" si="38"/>
        <v>0</v>
      </c>
      <c r="S110" s="61">
        <f>IF(F110="",0,IF(ISERROR(Q110+P110*VLOOKUP(F110,Paramétrage!$C$6:$E$27,3,0))=TRUE,R110,Q110+P110*VLOOKUP(F110,Paramétrage!$C$6:$E$27,3,0)))</f>
        <v>0</v>
      </c>
      <c r="T110" s="72"/>
      <c r="U110" s="72"/>
      <c r="V110" s="72"/>
      <c r="W110" s="72"/>
      <c r="X110" s="431">
        <f t="shared" si="36"/>
        <v>0</v>
      </c>
      <c r="Y110" s="458"/>
      <c r="Z110" s="459"/>
      <c r="AA110" s="460"/>
      <c r="AB110" s="60">
        <f>IF(B110="",0,IF(D110="",0,IF(SUMIF(B109:B141,B110,H109:H141)=0,0,IF(D110="Obligatoire",AC110/H110,IF(E110="",AC110/SUMIF(B109:B141,B110,H109:H141),AC110/(SUMIF(B109:B141,B110,H109:H141)/E110))))))</f>
        <v>0</v>
      </c>
      <c r="AC110" s="45">
        <f t="shared" si="39"/>
        <v>0</v>
      </c>
    </row>
    <row r="111" spans="1:29" x14ac:dyDescent="0.25">
      <c r="A111" s="490"/>
      <c r="B111" s="95"/>
      <c r="C111" s="64"/>
      <c r="D111" s="87"/>
      <c r="E111" s="65"/>
      <c r="F111" s="66"/>
      <c r="G111" s="77"/>
      <c r="H111" s="72"/>
      <c r="I111" s="82"/>
      <c r="J111" s="69"/>
      <c r="K111" s="459"/>
      <c r="L111" s="459"/>
      <c r="M111" s="459"/>
      <c r="N111" s="461"/>
      <c r="O111" s="427" t="str">
        <f>IF(OR(I111="",F111=Paramétrage!$C$9,F111=Paramétrage!$C$12,F111=Paramétrage!$C$15,F111=Paramétrage!$C$18,F111=[1]Paramétrage!$C$23,F111=Paramétrage!$C$25,J111="Mut+ext"),"",ROUNDUP(H111/I111,0))</f>
        <v/>
      </c>
      <c r="P111" s="46">
        <f>IF(F111="",0,IF(OR(J111="Mut+ext",VLOOKUP(F111,Paramétrage!$C$6:$E$27,2,0)=0),0,IF(I111="","saisir capacité",G111*O111*VLOOKUP(F111,Paramétrage!$C$6:$E$27,2,0))))</f>
        <v>0</v>
      </c>
      <c r="Q111" s="68"/>
      <c r="R111" s="44">
        <f t="shared" si="38"/>
        <v>0</v>
      </c>
      <c r="S111" s="61">
        <f>IF(F111="",0,IF(ISERROR(Q111+P111*VLOOKUP(F111,Paramétrage!$C$6:$E$27,3,0))=TRUE,R111,Q111+P111*VLOOKUP(F111,Paramétrage!$C$6:$E$27,3,0)))</f>
        <v>0</v>
      </c>
      <c r="T111" s="72"/>
      <c r="U111" s="72"/>
      <c r="V111" s="72"/>
      <c r="W111" s="72"/>
      <c r="X111" s="431">
        <f t="shared" si="36"/>
        <v>0</v>
      </c>
      <c r="Y111" s="458"/>
      <c r="Z111" s="459"/>
      <c r="AA111" s="460"/>
      <c r="AB111" s="60">
        <f>IF(B111="",0,IF(D111="",0,IF(SUMIF(B111:B141,B111,H111:H141)=0,0,IF(D111="Obligatoire",AC111/H111,IF(E111="",AC111/SUMIF(B111:B141,B111,H111:H141),AC111/(SUMIF(B111:B141,B111,H111:H141)/E111))))))</f>
        <v>0</v>
      </c>
      <c r="AC111" s="45">
        <f t="shared" si="39"/>
        <v>0</v>
      </c>
    </row>
    <row r="112" spans="1:29" x14ac:dyDescent="0.25">
      <c r="A112" s="490"/>
      <c r="B112" s="95"/>
      <c r="C112" s="64"/>
      <c r="D112" s="87"/>
      <c r="E112" s="65"/>
      <c r="F112" s="66"/>
      <c r="G112" s="77"/>
      <c r="H112" s="72"/>
      <c r="I112" s="82"/>
      <c r="J112" s="69"/>
      <c r="K112" s="459"/>
      <c r="L112" s="459"/>
      <c r="M112" s="459"/>
      <c r="N112" s="461"/>
      <c r="O112" s="427" t="str">
        <f>IF(OR(I112="",F112=Paramétrage!$C$9,F112=Paramétrage!$C$12,F112=Paramétrage!$C$15,F112=Paramétrage!$C$18,F112=[1]Paramétrage!$C$23,F112=Paramétrage!$C$25,J112="Mut+ext"),"",ROUNDUP(H112/I112,0))</f>
        <v/>
      </c>
      <c r="P112" s="46">
        <f>IF(F112="",0,IF(OR(J112="Mut+ext",VLOOKUP(F112,Paramétrage!$C$6:$E$27,2,0)=0),0,IF(I112="","saisir capacité",G112*O112*VLOOKUP(F112,Paramétrage!$C$6:$E$27,2,0))))</f>
        <v>0</v>
      </c>
      <c r="Q112" s="68"/>
      <c r="R112" s="44">
        <f t="shared" si="38"/>
        <v>0</v>
      </c>
      <c r="S112" s="61">
        <f>IF(F112="",0,IF(ISERROR(Q112+P112*VLOOKUP(F112,Paramétrage!$C$6:$E$27,3,0))=TRUE,R112,Q112+P112*VLOOKUP(F112,Paramétrage!$C$6:$E$27,3,0)))</f>
        <v>0</v>
      </c>
      <c r="T112" s="72"/>
      <c r="U112" s="72"/>
      <c r="V112" s="72"/>
      <c r="W112" s="72"/>
      <c r="X112" s="431">
        <f t="shared" si="36"/>
        <v>0</v>
      </c>
      <c r="Y112" s="458"/>
      <c r="Z112" s="459"/>
      <c r="AA112" s="460"/>
      <c r="AB112" s="60">
        <f>IF(B112="",0,IF(D112="",0,IF(SUMIF(B111:B141,B112,H111:H141)=0,0,IF(D112="Obligatoire",AC112/H112,IF(E112="",AC112/SUMIF(B111:B141,B112,H111:H141),AC112/(SUMIF(B111:B141,B112,H111:H141)/E112))))))</f>
        <v>0</v>
      </c>
      <c r="AC112" s="45">
        <f t="shared" si="39"/>
        <v>0</v>
      </c>
    </row>
    <row r="113" spans="1:29" x14ac:dyDescent="0.25">
      <c r="A113" s="490"/>
      <c r="B113" s="95"/>
      <c r="C113" s="64"/>
      <c r="D113" s="87"/>
      <c r="E113" s="65"/>
      <c r="F113" s="66"/>
      <c r="G113" s="77"/>
      <c r="H113" s="72"/>
      <c r="I113" s="82"/>
      <c r="J113" s="69"/>
      <c r="K113" s="459"/>
      <c r="L113" s="459"/>
      <c r="M113" s="459"/>
      <c r="N113" s="461"/>
      <c r="O113" s="427" t="str">
        <f>IF(OR(I113="",F113=Paramétrage!$C$9,F113=Paramétrage!$C$12,F113=Paramétrage!$C$15,F113=Paramétrage!$C$18,F113=[1]Paramétrage!$C$23,F113=Paramétrage!$C$25,J113="Mut+ext"),"",ROUNDUP(H113/I113,0))</f>
        <v/>
      </c>
      <c r="P113" s="46">
        <f>IF(F113="",0,IF(OR(J113="Mut+ext",VLOOKUP(F113,Paramétrage!$C$6:$E$27,2,0)=0),0,IF(I113="","saisir capacité",G113*O113*VLOOKUP(F113,Paramétrage!$C$6:$E$27,2,0))))</f>
        <v>0</v>
      </c>
      <c r="Q113" s="68"/>
      <c r="R113" s="44">
        <f t="shared" si="38"/>
        <v>0</v>
      </c>
      <c r="S113" s="61">
        <f>IF(F113="",0,IF(ISERROR(Q113+P113*VLOOKUP(F113,Paramétrage!$C$6:$E$27,3,0))=TRUE,R113,Q113+P113*VLOOKUP(F113,Paramétrage!$C$6:$E$27,3,0)))</f>
        <v>0</v>
      </c>
      <c r="T113" s="72"/>
      <c r="U113" s="72"/>
      <c r="V113" s="72"/>
      <c r="W113" s="72"/>
      <c r="X113" s="431">
        <f t="shared" si="36"/>
        <v>0</v>
      </c>
      <c r="Y113" s="458"/>
      <c r="Z113" s="459"/>
      <c r="AA113" s="460"/>
      <c r="AB113" s="60">
        <f>IF(B113="",0,IF(D113="",0,IF(SUMIF(B112:B141,B113,H112:H141)=0,0,IF(D113="Obligatoire",AC113/H113,IF(E113="",AC113/SUMIF(B112:B141,B113,H112:H141),AC113/(SUMIF(B112:B141,B113,H112:H141)/E113))))))</f>
        <v>0</v>
      </c>
      <c r="AC113" s="45">
        <f t="shared" si="39"/>
        <v>0</v>
      </c>
    </row>
    <row r="114" spans="1:29" x14ac:dyDescent="0.25">
      <c r="A114" s="490"/>
      <c r="B114" s="95"/>
      <c r="C114" s="64"/>
      <c r="D114" s="87"/>
      <c r="E114" s="65"/>
      <c r="F114" s="66"/>
      <c r="G114" s="77"/>
      <c r="H114" s="72"/>
      <c r="I114" s="82"/>
      <c r="J114" s="69"/>
      <c r="K114" s="459"/>
      <c r="L114" s="459"/>
      <c r="M114" s="459"/>
      <c r="N114" s="461"/>
      <c r="O114" s="427" t="str">
        <f>IF(OR(I114="",F114=Paramétrage!$C$9,F114=Paramétrage!$C$12,F114=Paramétrage!$C$15,F114=Paramétrage!$C$18,F114=[1]Paramétrage!$C$23,F114=Paramétrage!$C$25,J114="Mut+ext"),"",ROUNDUP(H114/I114,0))</f>
        <v/>
      </c>
      <c r="P114" s="46">
        <f>IF(F114="",0,IF(OR(J114="Mut+ext",VLOOKUP(F114,Paramétrage!$C$6:$E$27,2,0)=0),0,IF(I114="","saisir capacité",G114*O114*VLOOKUP(F114,Paramétrage!$C$6:$E$27,2,0))))</f>
        <v>0</v>
      </c>
      <c r="Q114" s="68"/>
      <c r="R114" s="44">
        <f t="shared" si="35"/>
        <v>0</v>
      </c>
      <c r="S114" s="61">
        <f>IF(F114="",0,IF(ISERROR(Q114+P114*VLOOKUP(F114,Paramétrage!$C$6:$E$27,3,0))=TRUE,R114,Q114+P114*VLOOKUP(F114,Paramétrage!$C$6:$E$27,3,0)))</f>
        <v>0</v>
      </c>
      <c r="T114" s="72"/>
      <c r="U114" s="72"/>
      <c r="V114" s="72"/>
      <c r="W114" s="72"/>
      <c r="X114" s="431">
        <f t="shared" si="36"/>
        <v>0</v>
      </c>
      <c r="Y114" s="458"/>
      <c r="Z114" s="459"/>
      <c r="AA114" s="460"/>
      <c r="AB114" s="60">
        <f>IF(B114="",0,IF(D114="",0,IF(SUMIF(B100:B119,B114,H100:H119)=0,0,IF(D114="Obligatoire",AC114/H114,IF(E114="",AC114/SUMIF(B100:B119,B114,H100:H119),AC114/(SUMIF(B100:B119,B114,H100:H119)/E114))))))</f>
        <v>0</v>
      </c>
      <c r="AC114" s="45">
        <f t="shared" ref="AC114:AC119" si="40">G114*H114</f>
        <v>0</v>
      </c>
    </row>
    <row r="115" spans="1:29" x14ac:dyDescent="0.25">
      <c r="A115" s="490"/>
      <c r="B115" s="96"/>
      <c r="C115" s="64"/>
      <c r="D115" s="87"/>
      <c r="E115" s="65"/>
      <c r="F115" s="66"/>
      <c r="G115" s="77"/>
      <c r="H115" s="72"/>
      <c r="I115" s="82"/>
      <c r="J115" s="69"/>
      <c r="K115" s="459"/>
      <c r="L115" s="459"/>
      <c r="M115" s="459"/>
      <c r="N115" s="461"/>
      <c r="O115" s="427" t="str">
        <f>IF(OR(I115="",F115=Paramétrage!$C$9,F115=Paramétrage!$C$12,F115=Paramétrage!$C$15,F115=Paramétrage!$C$18,F115=[1]Paramétrage!$C$23,F115=Paramétrage!$C$25,J115="Mut+ext"),"",ROUNDUP(H115/I115,0))</f>
        <v/>
      </c>
      <c r="P115" s="46">
        <f>IF(F115="",0,IF(OR(J115="Mut+ext",VLOOKUP(F115,Paramétrage!$C$6:$E$27,2,0)=0),0,IF(I115="","saisir capacité",G115*O115*VLOOKUP(F115,Paramétrage!$C$6:$E$27,2,0))))</f>
        <v>0</v>
      </c>
      <c r="Q115" s="68"/>
      <c r="R115" s="44">
        <f t="shared" si="35"/>
        <v>0</v>
      </c>
      <c r="S115" s="61">
        <f>IF(F115="",0,IF(ISERROR(Q115+P115*VLOOKUP(F115,Paramétrage!$C$6:$E$27,3,0))=TRUE,R115,Q115+P115*VLOOKUP(F115,Paramétrage!$C$6:$E$27,3,0)))</f>
        <v>0</v>
      </c>
      <c r="T115" s="72"/>
      <c r="U115" s="72"/>
      <c r="V115" s="72"/>
      <c r="W115" s="72"/>
      <c r="X115" s="431">
        <f t="shared" si="36"/>
        <v>0</v>
      </c>
      <c r="Y115" s="458"/>
      <c r="Z115" s="459"/>
      <c r="AA115" s="460"/>
      <c r="AB115" s="60">
        <f>IF(B115="",0,IF(D115="",0,IF(SUMIF(B100:B119,B115,H100:H119)=0,0,IF(D115="Obligatoire",AC115/H115,IF(E115="",AC115/SUMIF(B100:B119,B115,H100:H119),AC115/(SUMIF(B100:B119,B115,H100:H119)/E115))))))</f>
        <v>0</v>
      </c>
      <c r="AC115" s="45">
        <f t="shared" si="40"/>
        <v>0</v>
      </c>
    </row>
    <row r="116" spans="1:29" x14ac:dyDescent="0.25">
      <c r="A116" s="490"/>
      <c r="B116" s="95"/>
      <c r="C116" s="64"/>
      <c r="D116" s="87"/>
      <c r="E116" s="65"/>
      <c r="F116" s="66"/>
      <c r="G116" s="77"/>
      <c r="H116" s="72"/>
      <c r="I116" s="82"/>
      <c r="J116" s="69"/>
      <c r="K116" s="459"/>
      <c r="L116" s="459"/>
      <c r="M116" s="459"/>
      <c r="N116" s="461"/>
      <c r="O116" s="427" t="str">
        <f>IF(OR(I116="",F116=Paramétrage!$C$9,F116=Paramétrage!$C$12,F116=Paramétrage!$C$15,F116=Paramétrage!$C$18,F116=[1]Paramétrage!$C$23,F116=Paramétrage!$C$25,J116="Mut+ext"),"",ROUNDUP(H116/I116,0))</f>
        <v/>
      </c>
      <c r="P116" s="46">
        <f>IF(F116="",0,IF(OR(J116="Mut+ext",VLOOKUP(F116,Paramétrage!$C$6:$E$27,2,0)=0),0,IF(I116="","saisir capacité",G116*O116*VLOOKUP(F116,Paramétrage!$C$6:$E$27,2,0))))</f>
        <v>0</v>
      </c>
      <c r="Q116" s="68"/>
      <c r="R116" s="44">
        <f t="shared" si="35"/>
        <v>0</v>
      </c>
      <c r="S116" s="61">
        <f>IF(F116="",0,IF(ISERROR(Q116+P116*VLOOKUP(F116,Paramétrage!$C$6:$E$27,3,0))=TRUE,R116,Q116+P116*VLOOKUP(F116,Paramétrage!$C$6:$E$27,3,0)))</f>
        <v>0</v>
      </c>
      <c r="T116" s="72"/>
      <c r="U116" s="72"/>
      <c r="V116" s="72"/>
      <c r="W116" s="72"/>
      <c r="X116" s="431">
        <f t="shared" si="36"/>
        <v>0</v>
      </c>
      <c r="Y116" s="458"/>
      <c r="Z116" s="459"/>
      <c r="AA116" s="460"/>
      <c r="AB116" s="60">
        <f>IF(B116="",0,IF(D116="",0,IF(SUMIF(B100:B119,B116,H100:H119)=0,0,IF(D116="Obligatoire",AC116/H116,IF(E116="",AC116/SUMIF(B100:B119,B116,H100:H119),AC116/(SUMIF(B100:B119,B116,H100:H119)/E116))))))</f>
        <v>0</v>
      </c>
      <c r="AC116" s="45">
        <f t="shared" si="40"/>
        <v>0</v>
      </c>
    </row>
    <row r="117" spans="1:29" x14ac:dyDescent="0.25">
      <c r="A117" s="490"/>
      <c r="B117" s="95"/>
      <c r="C117" s="64"/>
      <c r="D117" s="87"/>
      <c r="E117" s="65"/>
      <c r="F117" s="66"/>
      <c r="G117" s="77"/>
      <c r="H117" s="72"/>
      <c r="I117" s="82"/>
      <c r="J117" s="69"/>
      <c r="K117" s="459"/>
      <c r="L117" s="459"/>
      <c r="M117" s="459"/>
      <c r="N117" s="461"/>
      <c r="O117" s="427" t="str">
        <f>IF(OR(I117="",F117=Paramétrage!$C$9,F117=Paramétrage!$C$12,F117=Paramétrage!$C$15,F117=Paramétrage!$C$18,F117=[1]Paramétrage!$C$23,F117=Paramétrage!$C$25,J117="Mut+ext"),"",ROUNDUP(H117/I117,0))</f>
        <v/>
      </c>
      <c r="P117" s="46">
        <f>IF(F117="",0,IF(OR(J117="Mut+ext",VLOOKUP(F117,Paramétrage!$C$6:$E$27,2,0)=0),0,IF(I117="","saisir capacité",G117*O117*VLOOKUP(F117,Paramétrage!$C$6:$E$27,2,0))))</f>
        <v>0</v>
      </c>
      <c r="Q117" s="68"/>
      <c r="R117" s="44">
        <f t="shared" si="35"/>
        <v>0</v>
      </c>
      <c r="S117" s="61">
        <f>IF(F117="",0,IF(ISERROR(Q117+P117*VLOOKUP(F117,Paramétrage!$C$6:$E$27,3,0))=TRUE,R117,Q117+P117*VLOOKUP(F117,Paramétrage!$C$6:$E$27,3,0)))</f>
        <v>0</v>
      </c>
      <c r="T117" s="74"/>
      <c r="U117" s="74"/>
      <c r="V117" s="74"/>
      <c r="W117" s="74"/>
      <c r="X117" s="431">
        <f t="shared" si="36"/>
        <v>0</v>
      </c>
      <c r="Y117" s="458"/>
      <c r="Z117" s="459"/>
      <c r="AA117" s="460"/>
      <c r="AB117" s="60">
        <f>IF(B117="",0,IF(D117="",0,IF(SUMIF(B100:B119,B117,H100:H119)=0,0,IF(D117="Obligatoire",AC117/H117,IF(E117="",AC117/SUMIF(B100:B119,B117,H100:H119),AC117/(SUMIF(B100:B119,B117,H100:H119)/E117))))))</f>
        <v>0</v>
      </c>
      <c r="AC117" s="45">
        <f t="shared" si="40"/>
        <v>0</v>
      </c>
    </row>
    <row r="118" spans="1:29" x14ac:dyDescent="0.25">
      <c r="A118" s="490"/>
      <c r="B118" s="95"/>
      <c r="C118" s="64"/>
      <c r="D118" s="87"/>
      <c r="E118" s="65"/>
      <c r="F118" s="66"/>
      <c r="G118" s="77"/>
      <c r="H118" s="72"/>
      <c r="I118" s="82"/>
      <c r="J118" s="69"/>
      <c r="K118" s="459"/>
      <c r="L118" s="459"/>
      <c r="M118" s="459"/>
      <c r="N118" s="461"/>
      <c r="O118" s="427" t="str">
        <f>IF(OR(I118="",F118=Paramétrage!$C$9,F118=Paramétrage!$C$12,F118=Paramétrage!$C$15,F118=Paramétrage!$C$18,F118=[1]Paramétrage!$C$23,F118=Paramétrage!$C$25,J118="Mut+ext"),"",ROUNDUP(H118/I118,0))</f>
        <v/>
      </c>
      <c r="P118" s="46">
        <f>IF(F118="",0,IF(OR(J118="Mut+ext",VLOOKUP(F118,Paramétrage!$C$6:$E$27,2,0)=0),0,IF(I118="","saisir capacité",G118*O118*VLOOKUP(F118,Paramétrage!$C$6:$E$27,2,0))))</f>
        <v>0</v>
      </c>
      <c r="Q118" s="68"/>
      <c r="R118" s="44">
        <f t="shared" si="35"/>
        <v>0</v>
      </c>
      <c r="S118" s="61">
        <f>IF(F118="",0,IF(ISERROR(Q118+P118*VLOOKUP(F118,Paramétrage!$C$6:$E$27,3,0))=TRUE,R118,Q118+P118*VLOOKUP(F118,Paramétrage!$C$6:$E$27,3,0)))</f>
        <v>0</v>
      </c>
      <c r="T118" s="73"/>
      <c r="U118" s="73"/>
      <c r="V118" s="73"/>
      <c r="W118" s="73"/>
      <c r="X118" s="431">
        <f t="shared" si="36"/>
        <v>0</v>
      </c>
      <c r="Y118" s="458"/>
      <c r="Z118" s="459"/>
      <c r="AA118" s="460"/>
      <c r="AB118" s="60">
        <f>IF(B118="",0,IF(D118="",0,IF(SUMIF(B100:B119,B118,H100:H119)=0,0,IF(D118="Obligatoire",AC118/H118,IF(E118="",AC118/SUMIF(B100:B119,B118,H100:H119),AC118/(SUMIF(B100:B119,B118,H100:H119)/E118))))))</f>
        <v>0</v>
      </c>
      <c r="AC118" s="45">
        <f t="shared" si="40"/>
        <v>0</v>
      </c>
    </row>
    <row r="119" spans="1:29" x14ac:dyDescent="0.25">
      <c r="A119" s="490"/>
      <c r="B119" s="95"/>
      <c r="C119" s="64"/>
      <c r="D119" s="87"/>
      <c r="E119" s="65"/>
      <c r="F119" s="66"/>
      <c r="G119" s="77"/>
      <c r="H119" s="72"/>
      <c r="I119" s="82"/>
      <c r="J119" s="69"/>
      <c r="K119" s="459"/>
      <c r="L119" s="459"/>
      <c r="M119" s="459"/>
      <c r="N119" s="461"/>
      <c r="O119" s="427" t="str">
        <f>IF(OR(I119="",F119=Paramétrage!$C$9,F119=Paramétrage!$C$12,F119=Paramétrage!$C$15,F119=Paramétrage!$C$18,F119=[1]Paramétrage!$C$23,F119=Paramétrage!$C$25,J119="Mut+ext"),"",ROUNDUP(H119/I119,0))</f>
        <v/>
      </c>
      <c r="P119" s="46">
        <f>IF(F119="",0,IF(OR(J119="Mut+ext",VLOOKUP(F119,Paramétrage!$C$6:$E$27,2,0)=0),0,IF(I119="","saisir capacité",G119*O119*VLOOKUP(F119,Paramétrage!$C$6:$E$27,2,0))))</f>
        <v>0</v>
      </c>
      <c r="Q119" s="68"/>
      <c r="R119" s="44">
        <f t="shared" si="35"/>
        <v>0</v>
      </c>
      <c r="S119" s="61">
        <f>IF(F119="",0,IF(ISERROR(Q119+P119*VLOOKUP(F119,Paramétrage!$C$6:$E$27,3,0))=TRUE,R119,Q119+P119*VLOOKUP(F119,Paramétrage!$C$6:$E$27,3,0)))</f>
        <v>0</v>
      </c>
      <c r="T119" s="72"/>
      <c r="U119" s="72"/>
      <c r="V119" s="72"/>
      <c r="W119" s="72"/>
      <c r="X119" s="431">
        <f t="shared" si="36"/>
        <v>0</v>
      </c>
      <c r="Y119" s="458"/>
      <c r="Z119" s="459"/>
      <c r="AA119" s="460"/>
      <c r="AB119" s="60">
        <f>IF(B119="",0,IF(D119="",0,IF(SUMIF(B100:B119,B119,H100:H119)=0,0,IF(D119="Obligatoire",AC119/H119,IF(E119="",AC119/SUMIF(B100:B119,B119,H100:H119),AC119/(SUMIF(B100:B119,B119,H100:H119)/E119))))))</f>
        <v>0</v>
      </c>
      <c r="AC119" s="45">
        <f t="shared" si="40"/>
        <v>0</v>
      </c>
    </row>
    <row r="120" spans="1:29" ht="16.2" thickBot="1" x14ac:dyDescent="0.3">
      <c r="A120" s="489"/>
      <c r="B120" s="97"/>
      <c r="C120" s="49"/>
      <c r="D120" s="49"/>
      <c r="E120" s="50"/>
      <c r="F120" s="47"/>
      <c r="G120" s="84">
        <f>AB120</f>
        <v>0</v>
      </c>
      <c r="H120" s="78">
        <f>SUM(H100:H119)</f>
        <v>0</v>
      </c>
      <c r="I120" s="83"/>
      <c r="J120" s="89"/>
      <c r="K120" s="106"/>
      <c r="L120" s="106"/>
      <c r="M120" s="106"/>
      <c r="N120" s="107"/>
      <c r="O120" s="51"/>
      <c r="P120" s="108">
        <f>SUM(P100:P119)</f>
        <v>0</v>
      </c>
      <c r="Q120" s="47">
        <f>SUM(Q100:Q119)</f>
        <v>0</v>
      </c>
      <c r="R120" s="52">
        <f>P120+Q120</f>
        <v>0</v>
      </c>
      <c r="S120" s="109">
        <f>SUM(S100:S119)</f>
        <v>0</v>
      </c>
      <c r="T120" s="416"/>
      <c r="U120" s="416"/>
      <c r="V120" s="416"/>
      <c r="W120" s="416"/>
      <c r="X120" s="432"/>
      <c r="Y120" s="110"/>
      <c r="Z120" s="111"/>
      <c r="AA120" s="112"/>
      <c r="AB120" s="113">
        <f>SUM(AB100:AB119)</f>
        <v>0</v>
      </c>
      <c r="AC120" s="59">
        <f>SUM(AC100:AC119)</f>
        <v>0</v>
      </c>
    </row>
    <row r="121" spans="1:29" ht="15.6" customHeight="1" x14ac:dyDescent="0.25">
      <c r="A121" s="488" t="s">
        <v>124</v>
      </c>
      <c r="B121" s="94"/>
      <c r="C121" s="98"/>
      <c r="D121" s="86"/>
      <c r="E121" s="62"/>
      <c r="F121" s="63"/>
      <c r="G121" s="76"/>
      <c r="H121" s="71"/>
      <c r="I121" s="99"/>
      <c r="J121" s="88"/>
      <c r="K121" s="463"/>
      <c r="L121" s="463"/>
      <c r="M121" s="463"/>
      <c r="N121" s="475"/>
      <c r="O121" s="427" t="str">
        <f>IF(OR(I121="",F121=Paramétrage!$C$9,F121=Paramétrage!$C$12,F121=Paramétrage!$C$15,F121=Paramétrage!$C$18,F121=[1]Paramétrage!$C$23,F121=Paramétrage!$C$25,J121="Mut+ext"),"",ROUNDUP(H121/I121,0))</f>
        <v/>
      </c>
      <c r="P121" s="100">
        <f>IF(F121="",0,IF(OR(J121="Mut+ext",VLOOKUP(F121,Paramétrage!$C$6:$E$27,2,0)=0),0,IF(I121="","saisir capacité",G121*O121*VLOOKUP(F121,Paramétrage!$C$6:$E$27,2,0))))</f>
        <v>0</v>
      </c>
      <c r="Q121" s="101"/>
      <c r="R121" s="102">
        <f t="shared" ref="R121:R140" si="41">IF(ISERROR(P121+Q121)=TRUE,P121,P121+Q121)</f>
        <v>0</v>
      </c>
      <c r="S121" s="103">
        <f>IF(F121="",0,IF(ISERROR(Q121+P121*VLOOKUP(F121,Paramétrage!$C$6:$E$27,3,0))=TRUE,R121,Q121+P121*VLOOKUP(F121,Paramétrage!$C$6:$E$27,3,0)))</f>
        <v>0</v>
      </c>
      <c r="T121" s="71"/>
      <c r="U121" s="71"/>
      <c r="V121" s="71"/>
      <c r="W121" s="71"/>
      <c r="X121" s="430">
        <f>SUM(T121:W121)</f>
        <v>0</v>
      </c>
      <c r="Y121" s="467"/>
      <c r="Z121" s="467"/>
      <c r="AA121" s="468"/>
      <c r="AB121" s="104">
        <f>IF(B121="",0,IF(D121="",0,IF(SUMIF(B121:B140,B121,H121:H140)=0,0,IF(E121="",AC121/SUMIF(B121:B140,B121,H121:H140),AC121/(SUMIF(B121:B140,B121,H121:H140)/E121)))))</f>
        <v>0</v>
      </c>
      <c r="AC121" s="105">
        <f>G121*H121</f>
        <v>0</v>
      </c>
    </row>
    <row r="122" spans="1:29" x14ac:dyDescent="0.25">
      <c r="A122" s="490"/>
      <c r="B122" s="95"/>
      <c r="C122" s="64"/>
      <c r="D122" s="87"/>
      <c r="E122" s="65"/>
      <c r="F122" s="66"/>
      <c r="G122" s="77"/>
      <c r="H122" s="72"/>
      <c r="I122" s="82"/>
      <c r="J122" s="69"/>
      <c r="K122" s="459"/>
      <c r="L122" s="459"/>
      <c r="M122" s="459"/>
      <c r="N122" s="461"/>
      <c r="O122" s="427" t="str">
        <f>IF(OR(I122="",F122=Paramétrage!$C$9,F122=Paramétrage!$C$12,F122=Paramétrage!$C$15,F122=Paramétrage!$C$18,F122=[1]Paramétrage!$C$23,F122=Paramétrage!$C$25,J122="Mut+ext"),"",ROUNDUP(H122/I122,0))</f>
        <v/>
      </c>
      <c r="P122" s="46">
        <f>IF(F122="",0,IF(OR(J122="Mut+ext",VLOOKUP(F122,Paramétrage!$C$6:$E$27,2,0)=0),0,IF(I122="","saisir capacité",G122*O122*VLOOKUP(F122,Paramétrage!$C$6:$E$27,2,0))))</f>
        <v>0</v>
      </c>
      <c r="Q122" s="68"/>
      <c r="R122" s="44">
        <f t="shared" si="41"/>
        <v>0</v>
      </c>
      <c r="S122" s="61">
        <f>IF(F122="",0,IF(ISERROR(Q122+P122*VLOOKUP(F122,Paramétrage!$C$6:$E$27,3,0))=TRUE,R122,Q122+P122*VLOOKUP(F122,Paramétrage!$C$6:$E$27,3,0)))</f>
        <v>0</v>
      </c>
      <c r="T122" s="72"/>
      <c r="U122" s="72"/>
      <c r="V122" s="72"/>
      <c r="W122" s="72"/>
      <c r="X122" s="431">
        <f t="shared" ref="X122:X140" si="42">SUM(T122:W122)</f>
        <v>0</v>
      </c>
      <c r="Y122" s="465"/>
      <c r="Z122" s="465"/>
      <c r="AA122" s="466"/>
      <c r="AB122" s="60">
        <f>IF(B122="",0,IF(D122="",0,IF(SUMIF(B122:B141,B122,H122:H141)=0,0,IF(E122="",AC122/SUMIF(B122:B141,B122,H122:H141),AC122/(SUMIF(B122:B141,B122,H122:H141)/E122)))))</f>
        <v>0</v>
      </c>
      <c r="AC122" s="45">
        <f>G122*H122</f>
        <v>0</v>
      </c>
    </row>
    <row r="123" spans="1:29" x14ac:dyDescent="0.25">
      <c r="A123" s="490"/>
      <c r="B123" s="95"/>
      <c r="C123" s="64"/>
      <c r="D123" s="87"/>
      <c r="E123" s="65"/>
      <c r="F123" s="66"/>
      <c r="G123" s="77"/>
      <c r="H123" s="72"/>
      <c r="I123" s="82"/>
      <c r="J123" s="69"/>
      <c r="K123" s="459"/>
      <c r="L123" s="459"/>
      <c r="M123" s="459"/>
      <c r="N123" s="461"/>
      <c r="O123" s="427" t="str">
        <f>IF(OR(I123="",F123=Paramétrage!$C$9,F123=Paramétrage!$C$12,F123=Paramétrage!$C$15,F123=Paramétrage!$C$18,F123=[1]Paramétrage!$C$23,F123=Paramétrage!$C$25,J123="Mut+ext"),"",ROUNDUP(H123/I123,0))</f>
        <v/>
      </c>
      <c r="P123" s="46">
        <f>IF(F123="",0,IF(OR(J123="Mut+ext",VLOOKUP(F123,Paramétrage!$C$6:$E$27,2,0)=0),0,IF(I123="","saisir capacité",G123*O123*VLOOKUP(F123,Paramétrage!$C$6:$E$27,2,0))))</f>
        <v>0</v>
      </c>
      <c r="Q123" s="68"/>
      <c r="R123" s="44">
        <f t="shared" si="41"/>
        <v>0</v>
      </c>
      <c r="S123" s="61">
        <f>IF(F123="",0,IF(ISERROR(Q123+P123*VLOOKUP(F123,Paramétrage!$C$6:$E$27,3,0))=TRUE,R123,Q123+P123*VLOOKUP(F123,Paramétrage!$C$6:$E$27,3,0)))</f>
        <v>0</v>
      </c>
      <c r="T123" s="72"/>
      <c r="U123" s="72"/>
      <c r="V123" s="72"/>
      <c r="W123" s="72"/>
      <c r="X123" s="431">
        <f t="shared" si="42"/>
        <v>0</v>
      </c>
      <c r="Y123" s="92"/>
      <c r="Z123" s="92"/>
      <c r="AA123" s="93"/>
      <c r="AB123" s="60">
        <f>IF(B123="",0,IF(D123="",0,IF(SUMIF(B123:B141,B123,H123:H141)=0,0,IF(E123="",AC123/SUMIF(B123:B141,B123,H123:H141),AC123/(SUMIF(B123:B141,B123,H123:H141)/E123)))))</f>
        <v>0</v>
      </c>
      <c r="AC123" s="45">
        <f t="shared" ref="AC123:AC137" si="43">G123*H123</f>
        <v>0</v>
      </c>
    </row>
    <row r="124" spans="1:29" x14ac:dyDescent="0.25">
      <c r="A124" s="490"/>
      <c r="B124" s="95"/>
      <c r="C124" s="64"/>
      <c r="D124" s="87"/>
      <c r="E124" s="65"/>
      <c r="F124" s="66"/>
      <c r="G124" s="77"/>
      <c r="H124" s="72"/>
      <c r="I124" s="82"/>
      <c r="J124" s="69"/>
      <c r="K124" s="459"/>
      <c r="L124" s="459"/>
      <c r="M124" s="459"/>
      <c r="N124" s="461"/>
      <c r="O124" s="427" t="str">
        <f>IF(OR(I124="",F124=Paramétrage!$C$9,F124=Paramétrage!$C$12,F124=Paramétrage!$C$15,F124=Paramétrage!$C$18,F124=[1]Paramétrage!$C$23,F124=Paramétrage!$C$25,J124="Mut+ext"),"",ROUNDUP(H124/I124,0))</f>
        <v/>
      </c>
      <c r="P124" s="46">
        <f>IF(F124="",0,IF(OR(J124="Mut+ext",VLOOKUP(F124,Paramétrage!$C$6:$E$27,2,0)=0),0,IF(I124="","saisir capacité",G124*O124*VLOOKUP(F124,Paramétrage!$C$6:$E$27,2,0))))</f>
        <v>0</v>
      </c>
      <c r="Q124" s="68"/>
      <c r="R124" s="44">
        <f t="shared" si="41"/>
        <v>0</v>
      </c>
      <c r="S124" s="61">
        <f>IF(F124="",0,IF(ISERROR(Q124+P124*VLOOKUP(F124,Paramétrage!$C$6:$E$27,3,0))=TRUE,R124,Q124+P124*VLOOKUP(F124,Paramétrage!$C$6:$E$27,3,0)))</f>
        <v>0</v>
      </c>
      <c r="T124" s="72"/>
      <c r="U124" s="72"/>
      <c r="V124" s="72"/>
      <c r="W124" s="72"/>
      <c r="X124" s="431">
        <f t="shared" si="42"/>
        <v>0</v>
      </c>
      <c r="Y124" s="92"/>
      <c r="Z124" s="92"/>
      <c r="AA124" s="93"/>
      <c r="AB124" s="60">
        <f>IF(B124="",0,IF(D124="",0,IF(SUMIF(B124:B141,B124,H124:H141)=0,0,IF(E124="",AC124/SUMIF(B124:B141,B124,H124:H141),AC124/(SUMIF(B124:B141,B124,H124:H141)/E124)))))</f>
        <v>0</v>
      </c>
      <c r="AC124" s="45">
        <f t="shared" si="43"/>
        <v>0</v>
      </c>
    </row>
    <row r="125" spans="1:29" x14ac:dyDescent="0.25">
      <c r="A125" s="490"/>
      <c r="B125" s="95"/>
      <c r="C125" s="64"/>
      <c r="D125" s="87"/>
      <c r="E125" s="65"/>
      <c r="F125" s="66"/>
      <c r="G125" s="77"/>
      <c r="H125" s="72"/>
      <c r="I125" s="82"/>
      <c r="J125" s="69"/>
      <c r="K125" s="459"/>
      <c r="L125" s="459"/>
      <c r="M125" s="459"/>
      <c r="N125" s="461"/>
      <c r="O125" s="427" t="str">
        <f>IF(OR(I125="",F125=Paramétrage!$C$9,F125=Paramétrage!$C$12,F125=Paramétrage!$C$15,F125=Paramétrage!$C$18,F125=[1]Paramétrage!$C$23,F125=Paramétrage!$C$25,J125="Mut+ext"),"",ROUNDUP(H125/I125,0))</f>
        <v/>
      </c>
      <c r="P125" s="46">
        <f>IF(F125="",0,IF(OR(J125="Mut+ext",VLOOKUP(F125,Paramétrage!$C$6:$E$27,2,0)=0),0,IF(I125="","saisir capacité",G125*O125*VLOOKUP(F125,Paramétrage!$C$6:$E$27,2,0))))</f>
        <v>0</v>
      </c>
      <c r="Q125" s="68"/>
      <c r="R125" s="44">
        <f t="shared" si="41"/>
        <v>0</v>
      </c>
      <c r="S125" s="61">
        <f>IF(F125="",0,IF(ISERROR(Q125+P125*VLOOKUP(F125,Paramétrage!$C$6:$E$27,3,0))=TRUE,R125,Q125+P125*VLOOKUP(F125,Paramétrage!$C$6:$E$27,3,0)))</f>
        <v>0</v>
      </c>
      <c r="T125" s="72"/>
      <c r="U125" s="72"/>
      <c r="V125" s="72"/>
      <c r="W125" s="72"/>
      <c r="X125" s="431">
        <f t="shared" si="42"/>
        <v>0</v>
      </c>
      <c r="Y125" s="92"/>
      <c r="Z125" s="92"/>
      <c r="AA125" s="93"/>
      <c r="AB125" s="60">
        <f>IF(B125="",0,IF(D125="",0,IF(SUMIF(B125:B141,B125,H125:H141)=0,0,IF(E125="",AC125/SUMIF(B125:B141,B125,H125:H141),AC125/(SUMIF(B125:B141,B125,H125:H141)/E125)))))</f>
        <v>0</v>
      </c>
      <c r="AC125" s="45">
        <f t="shared" si="43"/>
        <v>0</v>
      </c>
    </row>
    <row r="126" spans="1:29" x14ac:dyDescent="0.25">
      <c r="A126" s="490"/>
      <c r="B126" s="95"/>
      <c r="C126" s="64"/>
      <c r="D126" s="87"/>
      <c r="E126" s="65"/>
      <c r="F126" s="66"/>
      <c r="G126" s="77"/>
      <c r="H126" s="72"/>
      <c r="I126" s="82"/>
      <c r="J126" s="69"/>
      <c r="K126" s="459"/>
      <c r="L126" s="459"/>
      <c r="M126" s="459"/>
      <c r="N126" s="461"/>
      <c r="O126" s="427" t="str">
        <f>IF(OR(I126="",F126=Paramétrage!$C$9,F126=Paramétrage!$C$12,F126=Paramétrage!$C$15,F126=Paramétrage!$C$18,F126=[1]Paramétrage!$C$23,F126=Paramétrage!$C$25,J126="Mut+ext"),"",ROUNDUP(H126/I126,0))</f>
        <v/>
      </c>
      <c r="P126" s="46">
        <f>IF(F126="",0,IF(OR(J126="Mut+ext",VLOOKUP(F126,Paramétrage!$C$6:$E$27,2,0)=0),0,IF(I126="","saisir capacité",G126*O126*VLOOKUP(F126,Paramétrage!$C$6:$E$27,2,0))))</f>
        <v>0</v>
      </c>
      <c r="Q126" s="68"/>
      <c r="R126" s="44">
        <f t="shared" si="41"/>
        <v>0</v>
      </c>
      <c r="S126" s="61">
        <f>IF(F126="",0,IF(ISERROR(Q126+P126*VLOOKUP(F126,Paramétrage!$C$6:$E$27,3,0))=TRUE,R126,Q126+P126*VLOOKUP(F126,Paramétrage!$C$6:$E$27,3,0)))</f>
        <v>0</v>
      </c>
      <c r="T126" s="72"/>
      <c r="U126" s="72"/>
      <c r="V126" s="72"/>
      <c r="W126" s="72"/>
      <c r="X126" s="431">
        <f t="shared" si="42"/>
        <v>0</v>
      </c>
      <c r="Y126" s="92"/>
      <c r="Z126" s="92"/>
      <c r="AA126" s="93"/>
      <c r="AB126" s="60">
        <f>IF(B126="",0,IF(D126="",0,IF(SUMIF(B126:B141,B126,H126:H141)=0,0,IF(E126="",AC126/SUMIF(B126:B141,B126,H126:H141),AC126/(SUMIF(B126:B141,B126,H126:H141)/E126)))))</f>
        <v>0</v>
      </c>
      <c r="AC126" s="45">
        <f t="shared" si="43"/>
        <v>0</v>
      </c>
    </row>
    <row r="127" spans="1:29" x14ac:dyDescent="0.25">
      <c r="A127" s="490"/>
      <c r="B127" s="95"/>
      <c r="C127" s="64"/>
      <c r="D127" s="87"/>
      <c r="E127" s="65"/>
      <c r="F127" s="66"/>
      <c r="G127" s="77"/>
      <c r="H127" s="72"/>
      <c r="I127" s="82"/>
      <c r="J127" s="69"/>
      <c r="K127" s="459"/>
      <c r="L127" s="459"/>
      <c r="M127" s="459"/>
      <c r="N127" s="461"/>
      <c r="O127" s="427" t="str">
        <f>IF(OR(I127="",F127=Paramétrage!$C$9,F127=Paramétrage!$C$12,F127=Paramétrage!$C$15,F127=Paramétrage!$C$18,F127=[1]Paramétrage!$C$23,F127=Paramétrage!$C$25,J127="Mut+ext"),"",ROUNDUP(H127/I127,0))</f>
        <v/>
      </c>
      <c r="P127" s="46">
        <f>IF(F127="",0,IF(OR(J127="Mut+ext",VLOOKUP(F127,Paramétrage!$C$6:$E$27,2,0)=0),0,IF(I127="","saisir capacité",G127*O127*VLOOKUP(F127,Paramétrage!$C$6:$E$27,2,0))))</f>
        <v>0</v>
      </c>
      <c r="Q127" s="68"/>
      <c r="R127" s="44">
        <f t="shared" si="41"/>
        <v>0</v>
      </c>
      <c r="S127" s="61">
        <f>IF(F127="",0,IF(ISERROR(Q127+P127*VLOOKUP(F127,Paramétrage!$C$6:$E$27,3,0))=TRUE,R127,Q127+P127*VLOOKUP(F127,Paramétrage!$C$6:$E$27,3,0)))</f>
        <v>0</v>
      </c>
      <c r="T127" s="72"/>
      <c r="U127" s="72"/>
      <c r="V127" s="72"/>
      <c r="W127" s="72"/>
      <c r="X127" s="431">
        <f t="shared" si="42"/>
        <v>0</v>
      </c>
      <c r="Y127" s="92"/>
      <c r="Z127" s="92"/>
      <c r="AA127" s="93"/>
      <c r="AB127" s="60">
        <f>IF(B127="",0,IF(D127="",0,IF(SUMIF(B127:B141,B127,H127:H141)=0,0,IF(E127="",AC127/SUMIF(B127:B141,B127,H127:H141),AC127/(SUMIF(B127:B141,B127,H127:H141)/E127)))))</f>
        <v>0</v>
      </c>
      <c r="AC127" s="45">
        <f t="shared" si="43"/>
        <v>0</v>
      </c>
    </row>
    <row r="128" spans="1:29" x14ac:dyDescent="0.25">
      <c r="A128" s="490"/>
      <c r="B128" s="95"/>
      <c r="C128" s="64"/>
      <c r="D128" s="87"/>
      <c r="E128" s="65"/>
      <c r="F128" s="66"/>
      <c r="G128" s="77"/>
      <c r="H128" s="72"/>
      <c r="I128" s="82"/>
      <c r="J128" s="69"/>
      <c r="K128" s="459"/>
      <c r="L128" s="459"/>
      <c r="M128" s="459"/>
      <c r="N128" s="461"/>
      <c r="O128" s="427" t="str">
        <f>IF(OR(I128="",F128=Paramétrage!$C$9,F128=Paramétrage!$C$12,F128=Paramétrage!$C$15,F128=Paramétrage!$C$18,F128=[1]Paramétrage!$C$23,F128=Paramétrage!$C$25,J128="Mut+ext"),"",ROUNDUP(H128/I128,0))</f>
        <v/>
      </c>
      <c r="P128" s="46">
        <f>IF(F128="",0,IF(OR(J128="Mut+ext",VLOOKUP(F128,Paramétrage!$C$6:$E$27,2,0)=0),0,IF(I128="","saisir capacité",G128*O128*VLOOKUP(F128,Paramétrage!$C$6:$E$27,2,0))))</f>
        <v>0</v>
      </c>
      <c r="Q128" s="68"/>
      <c r="R128" s="44">
        <f t="shared" si="41"/>
        <v>0</v>
      </c>
      <c r="S128" s="61">
        <f>IF(F128="",0,IF(ISERROR(Q128+P128*VLOOKUP(F128,Paramétrage!$C$6:$E$27,3,0))=TRUE,R128,Q128+P128*VLOOKUP(F128,Paramétrage!$C$6:$E$27,3,0)))</f>
        <v>0</v>
      </c>
      <c r="T128" s="72"/>
      <c r="U128" s="72"/>
      <c r="V128" s="72"/>
      <c r="W128" s="72"/>
      <c r="X128" s="431">
        <f t="shared" si="42"/>
        <v>0</v>
      </c>
      <c r="Y128" s="92"/>
      <c r="Z128" s="92"/>
      <c r="AA128" s="93"/>
      <c r="AB128" s="60">
        <f>IF(B128="",0,IF(D128="",0,IF(SUMIF(B128:B141,B128,H128:H141)=0,0,IF(E128="",AC128/SUMIF(B128:B141,B128,H128:H141),AC128/(SUMIF(B128:B141,B128,H128:H141)/E128)))))</f>
        <v>0</v>
      </c>
      <c r="AC128" s="45">
        <f t="shared" si="43"/>
        <v>0</v>
      </c>
    </row>
    <row r="129" spans="1:29" x14ac:dyDescent="0.25">
      <c r="A129" s="490"/>
      <c r="B129" s="95"/>
      <c r="C129" s="64"/>
      <c r="D129" s="87"/>
      <c r="E129" s="65"/>
      <c r="F129" s="66"/>
      <c r="G129" s="77"/>
      <c r="H129" s="72"/>
      <c r="I129" s="82"/>
      <c r="J129" s="69"/>
      <c r="K129" s="459"/>
      <c r="L129" s="459"/>
      <c r="M129" s="459"/>
      <c r="N129" s="461"/>
      <c r="O129" s="427" t="str">
        <f>IF(OR(I129="",F129=Paramétrage!$C$9,F129=Paramétrage!$C$12,F129=Paramétrage!$C$15,F129=Paramétrage!$C$18,F129=[1]Paramétrage!$C$23,F129=Paramétrage!$C$25,J129="Mut+ext"),"",ROUNDUP(H129/I129,0))</f>
        <v/>
      </c>
      <c r="P129" s="46">
        <f>IF(F129="",0,IF(OR(J129="Mut+ext",VLOOKUP(F129,Paramétrage!$C$6:$E$27,2,0)=0),0,IF(I129="","saisir capacité",G129*O129*VLOOKUP(F129,Paramétrage!$C$6:$E$27,2,0))))</f>
        <v>0</v>
      </c>
      <c r="Q129" s="68"/>
      <c r="R129" s="44">
        <f t="shared" si="41"/>
        <v>0</v>
      </c>
      <c r="S129" s="61">
        <f>IF(F129="",0,IF(ISERROR(Q129+P129*VLOOKUP(F129,Paramétrage!$C$6:$E$27,3,0))=TRUE,R129,Q129+P129*VLOOKUP(F129,Paramétrage!$C$6:$E$27,3,0)))</f>
        <v>0</v>
      </c>
      <c r="T129" s="72"/>
      <c r="U129" s="72"/>
      <c r="V129" s="72"/>
      <c r="W129" s="72"/>
      <c r="X129" s="431">
        <f t="shared" si="42"/>
        <v>0</v>
      </c>
      <c r="Y129" s="92"/>
      <c r="Z129" s="92"/>
      <c r="AA129" s="93"/>
      <c r="AB129" s="60">
        <f>IF(B129="",0,IF(D129="",0,IF(SUMIF(B129:B141,B129,H129:H141)=0,0,IF(E129="",AC129/SUMIF(B129:B141,B129,H129:H141),AC129/(SUMIF(B129:B141,B129,H129:H141)/E129)))))</f>
        <v>0</v>
      </c>
      <c r="AC129" s="45">
        <f t="shared" si="43"/>
        <v>0</v>
      </c>
    </row>
    <row r="130" spans="1:29" x14ac:dyDescent="0.25">
      <c r="A130" s="490"/>
      <c r="B130" s="95"/>
      <c r="C130" s="64"/>
      <c r="D130" s="87"/>
      <c r="E130" s="65"/>
      <c r="F130" s="66"/>
      <c r="G130" s="77"/>
      <c r="H130" s="72"/>
      <c r="I130" s="82"/>
      <c r="J130" s="69"/>
      <c r="K130" s="459"/>
      <c r="L130" s="459"/>
      <c r="M130" s="459"/>
      <c r="N130" s="461"/>
      <c r="O130" s="427" t="str">
        <f>IF(OR(I130="",F130=Paramétrage!$C$9,F130=Paramétrage!$C$12,F130=Paramétrage!$C$15,F130=Paramétrage!$C$18,F130=[1]Paramétrage!$C$23,F130=Paramétrage!$C$25,J130="Mut+ext"),"",ROUNDUP(H130/I130,0))</f>
        <v/>
      </c>
      <c r="P130" s="46">
        <f>IF(F130="",0,IF(OR(J130="Mut+ext",VLOOKUP(F130,Paramétrage!$C$6:$E$27,2,0)=0),0,IF(I130="","saisir capacité",G130*O130*VLOOKUP(F130,Paramétrage!$C$6:$E$27,2,0))))</f>
        <v>0</v>
      </c>
      <c r="Q130" s="68"/>
      <c r="R130" s="44">
        <f t="shared" si="41"/>
        <v>0</v>
      </c>
      <c r="S130" s="61">
        <f>IF(F130="",0,IF(ISERROR(Q130+P130*VLOOKUP(F130,Paramétrage!$C$6:$E$27,3,0))=TRUE,R130,Q130+P130*VLOOKUP(F130,Paramétrage!$C$6:$E$27,3,0)))</f>
        <v>0</v>
      </c>
      <c r="T130" s="72"/>
      <c r="U130" s="72"/>
      <c r="V130" s="72"/>
      <c r="W130" s="72"/>
      <c r="X130" s="431">
        <f t="shared" si="42"/>
        <v>0</v>
      </c>
      <c r="Y130" s="92"/>
      <c r="Z130" s="92"/>
      <c r="AA130" s="93"/>
      <c r="AB130" s="60">
        <f>IF(B130="",0,IF(D130="",0,IF(SUMIF(B130:B141,B130,H130:H141)=0,0,IF(E130="",AC130/SUMIF(B130:B141,B130,H130:H141),AC130/(SUMIF(B130:B141,B130,H130:H141)/E130)))))</f>
        <v>0</v>
      </c>
      <c r="AC130" s="45">
        <f t="shared" si="43"/>
        <v>0</v>
      </c>
    </row>
    <row r="131" spans="1:29" x14ac:dyDescent="0.25">
      <c r="A131" s="490"/>
      <c r="B131" s="95"/>
      <c r="C131" s="64"/>
      <c r="D131" s="87"/>
      <c r="E131" s="65"/>
      <c r="F131" s="66"/>
      <c r="G131" s="77"/>
      <c r="H131" s="72"/>
      <c r="I131" s="82"/>
      <c r="J131" s="69"/>
      <c r="K131" s="459"/>
      <c r="L131" s="459"/>
      <c r="M131" s="459"/>
      <c r="N131" s="461"/>
      <c r="O131" s="427" t="str">
        <f>IF(OR(I131="",F131=Paramétrage!$C$9,F131=Paramétrage!$C$12,F131=Paramétrage!$C$15,F131=Paramétrage!$C$18,F131=[1]Paramétrage!$C$23,F131=Paramétrage!$C$25,J131="Mut+ext"),"",ROUNDUP(H131/I131,0))</f>
        <v/>
      </c>
      <c r="P131" s="46">
        <f>IF(F131="",0,IF(OR(J131="Mut+ext",VLOOKUP(F131,Paramétrage!$C$6:$E$27,2,0)=0),0,IF(I131="","saisir capacité",G131*O131*VLOOKUP(F131,Paramétrage!$C$6:$E$27,2,0))))</f>
        <v>0</v>
      </c>
      <c r="Q131" s="68"/>
      <c r="R131" s="44">
        <f t="shared" si="41"/>
        <v>0</v>
      </c>
      <c r="S131" s="61">
        <f>IF(F131="",0,IF(ISERROR(Q131+P131*VLOOKUP(F131,Paramétrage!$C$6:$E$27,3,0))=TRUE,R131,Q131+P131*VLOOKUP(F131,Paramétrage!$C$6:$E$27,3,0)))</f>
        <v>0</v>
      </c>
      <c r="T131" s="72"/>
      <c r="U131" s="72"/>
      <c r="V131" s="72"/>
      <c r="W131" s="72"/>
      <c r="X131" s="431">
        <f t="shared" si="42"/>
        <v>0</v>
      </c>
      <c r="Y131" s="92"/>
      <c r="Z131" s="92"/>
      <c r="AA131" s="93"/>
      <c r="AB131" s="60">
        <f>IF(B131="",0,IF(D131="",0,IF(SUMIF(B131:B141,B131,H131:H141)=0,0,IF(E131="",AC131/SUMIF(B131:B141,B131,H131:H141),AC131/(SUMIF(B131:B141,B131,H131:H141)/E131)))))</f>
        <v>0</v>
      </c>
      <c r="AC131" s="45">
        <f t="shared" si="43"/>
        <v>0</v>
      </c>
    </row>
    <row r="132" spans="1:29" x14ac:dyDescent="0.25">
      <c r="A132" s="490"/>
      <c r="B132" s="95"/>
      <c r="C132" s="64"/>
      <c r="D132" s="87"/>
      <c r="E132" s="65"/>
      <c r="F132" s="66"/>
      <c r="G132" s="77"/>
      <c r="H132" s="72"/>
      <c r="I132" s="82"/>
      <c r="J132" s="69"/>
      <c r="K132" s="459"/>
      <c r="L132" s="459"/>
      <c r="M132" s="459"/>
      <c r="N132" s="461"/>
      <c r="O132" s="427" t="str">
        <f>IF(OR(I132="",F132=Paramétrage!$C$9,F132=Paramétrage!$C$12,F132=Paramétrage!$C$15,F132=Paramétrage!$C$18,F132=[1]Paramétrage!$C$23,F132=Paramétrage!$C$25,J132="Mut+ext"),"",ROUNDUP(H132/I132,0))</f>
        <v/>
      </c>
      <c r="P132" s="46">
        <f>IF(F132="",0,IF(OR(J132="Mut+ext",VLOOKUP(F132,Paramétrage!$C$6:$E$27,2,0)=0),0,IF(I132="","saisir capacité",G132*O132*VLOOKUP(F132,Paramétrage!$C$6:$E$27,2,0))))</f>
        <v>0</v>
      </c>
      <c r="Q132" s="68"/>
      <c r="R132" s="44">
        <f t="shared" si="41"/>
        <v>0</v>
      </c>
      <c r="S132" s="61">
        <f>IF(F132="",0,IF(ISERROR(Q132+P132*VLOOKUP(F132,Paramétrage!$C$6:$E$27,3,0))=TRUE,R132,Q132+P132*VLOOKUP(F132,Paramétrage!$C$6:$E$27,3,0)))</f>
        <v>0</v>
      </c>
      <c r="T132" s="72"/>
      <c r="U132" s="72"/>
      <c r="V132" s="72"/>
      <c r="W132" s="72"/>
      <c r="X132" s="431">
        <f t="shared" si="42"/>
        <v>0</v>
      </c>
      <c r="Y132" s="92"/>
      <c r="Z132" s="92"/>
      <c r="AA132" s="93"/>
      <c r="AB132" s="60">
        <f>IF(B132="",0,IF(D132="",0,IF(SUMIF(B132:B141,B132,H132:H141)=0,0,IF(E132="",AC132/SUMIF(B132:B141,B132,H132:H141),AC132/(SUMIF(B132:B141,B132,H132:H141)/E132)))))</f>
        <v>0</v>
      </c>
      <c r="AC132" s="45">
        <f t="shared" si="43"/>
        <v>0</v>
      </c>
    </row>
    <row r="133" spans="1:29" x14ac:dyDescent="0.25">
      <c r="A133" s="490"/>
      <c r="B133" s="95"/>
      <c r="C133" s="64"/>
      <c r="D133" s="87"/>
      <c r="E133" s="65"/>
      <c r="F133" s="66"/>
      <c r="G133" s="77"/>
      <c r="H133" s="72"/>
      <c r="I133" s="82"/>
      <c r="J133" s="69"/>
      <c r="K133" s="459"/>
      <c r="L133" s="459"/>
      <c r="M133" s="459"/>
      <c r="N133" s="461"/>
      <c r="O133" s="427" t="str">
        <f>IF(OR(I133="",F133=Paramétrage!$C$9,F133=Paramétrage!$C$12,F133=Paramétrage!$C$15,F133=Paramétrage!$C$18,F133=[1]Paramétrage!$C$23,F133=Paramétrage!$C$25,J133="Mut+ext"),"",ROUNDUP(H133/I133,0))</f>
        <v/>
      </c>
      <c r="P133" s="46">
        <f>IF(F133="",0,IF(OR(J133="Mut+ext",VLOOKUP(F133,Paramétrage!$C$6:$E$27,2,0)=0),0,IF(I133="","saisir capacité",G133*O133*VLOOKUP(F133,Paramétrage!$C$6:$E$27,2,0))))</f>
        <v>0</v>
      </c>
      <c r="Q133" s="68"/>
      <c r="R133" s="44">
        <f t="shared" si="41"/>
        <v>0</v>
      </c>
      <c r="S133" s="61">
        <f>IF(F133="",0,IF(ISERROR(Q133+P133*VLOOKUP(F133,Paramétrage!$C$6:$E$27,3,0))=TRUE,R133,Q133+P133*VLOOKUP(F133,Paramétrage!$C$6:$E$27,3,0)))</f>
        <v>0</v>
      </c>
      <c r="T133" s="72"/>
      <c r="U133" s="72"/>
      <c r="V133" s="72"/>
      <c r="W133" s="72"/>
      <c r="X133" s="431">
        <f t="shared" si="42"/>
        <v>0</v>
      </c>
      <c r="Y133" s="92"/>
      <c r="Z133" s="92"/>
      <c r="AA133" s="93"/>
      <c r="AB133" s="60">
        <f>IF(B133="",0,IF(D133="",0,IF(SUMIF(B133:B141,B133,H133:H141)=0,0,IF(E133="",AC133/SUMIF(B133:B141,B133,H133:H141),AC133/(SUMIF(B133:B141,B133,H133:H141)/E133)))))</f>
        <v>0</v>
      </c>
      <c r="AC133" s="45">
        <f t="shared" si="43"/>
        <v>0</v>
      </c>
    </row>
    <row r="134" spans="1:29" x14ac:dyDescent="0.25">
      <c r="A134" s="490"/>
      <c r="B134" s="95"/>
      <c r="C134" s="64"/>
      <c r="D134" s="87"/>
      <c r="E134" s="65"/>
      <c r="F134" s="66"/>
      <c r="G134" s="77"/>
      <c r="H134" s="72"/>
      <c r="I134" s="82"/>
      <c r="J134" s="69"/>
      <c r="K134" s="459"/>
      <c r="L134" s="459"/>
      <c r="M134" s="459"/>
      <c r="N134" s="461"/>
      <c r="O134" s="427" t="str">
        <f>IF(OR(I134="",F134=Paramétrage!$C$9,F134=Paramétrage!$C$12,F134=Paramétrage!$C$15,F134=Paramétrage!$C$18,F134=[1]Paramétrage!$C$23,F134=Paramétrage!$C$25,J134="Mut+ext"),"",ROUNDUP(H134/I134,0))</f>
        <v/>
      </c>
      <c r="P134" s="46">
        <f>IF(F134="",0,IF(OR(J134="Mut+ext",VLOOKUP(F134,Paramétrage!$C$6:$E$27,2,0)=0),0,IF(I134="","saisir capacité",G134*O134*VLOOKUP(F134,Paramétrage!$C$6:$E$27,2,0))))</f>
        <v>0</v>
      </c>
      <c r="Q134" s="68"/>
      <c r="R134" s="44">
        <f t="shared" si="41"/>
        <v>0</v>
      </c>
      <c r="S134" s="61">
        <f>IF(F134="",0,IF(ISERROR(Q134+P134*VLOOKUP(F134,Paramétrage!$C$6:$E$27,3,0))=TRUE,R134,Q134+P134*VLOOKUP(F134,Paramétrage!$C$6:$E$27,3,0)))</f>
        <v>0</v>
      </c>
      <c r="T134" s="72"/>
      <c r="U134" s="72"/>
      <c r="V134" s="72"/>
      <c r="W134" s="72"/>
      <c r="X134" s="431">
        <f t="shared" si="42"/>
        <v>0</v>
      </c>
      <c r="Y134" s="92"/>
      <c r="Z134" s="92"/>
      <c r="AA134" s="93"/>
      <c r="AB134" s="60">
        <f>IF(B134="",0,IF(D134="",0,IF(SUMIF(B134:B141,B134,H134:H141)=0,0,IF(E134="",AC134/SUMIF(B134:B141,B134,H134:H141),AC134/(SUMIF(B134:B141,B134,H134:H141)/E134)))))</f>
        <v>0</v>
      </c>
      <c r="AC134" s="45">
        <f t="shared" si="43"/>
        <v>0</v>
      </c>
    </row>
    <row r="135" spans="1:29" x14ac:dyDescent="0.25">
      <c r="A135" s="490"/>
      <c r="B135" s="95"/>
      <c r="C135" s="64"/>
      <c r="D135" s="87"/>
      <c r="E135" s="65"/>
      <c r="F135" s="66"/>
      <c r="G135" s="77"/>
      <c r="H135" s="72"/>
      <c r="I135" s="82"/>
      <c r="J135" s="69"/>
      <c r="K135" s="459"/>
      <c r="L135" s="459"/>
      <c r="M135" s="459"/>
      <c r="N135" s="461"/>
      <c r="O135" s="427" t="str">
        <f>IF(OR(I135="",F135=Paramétrage!$C$9,F135=Paramétrage!$C$12,F135=Paramétrage!$C$15,F135=Paramétrage!$C$18,F135=[1]Paramétrage!$C$23,F135=Paramétrage!$C$25,J135="Mut+ext"),"",ROUNDUP(H135/I135,0))</f>
        <v/>
      </c>
      <c r="P135" s="46">
        <f>IF(F135="",0,IF(OR(J135="Mut+ext",VLOOKUP(F135,Paramétrage!$C$6:$E$27,2,0)=0),0,IF(I135="","saisir capacité",G135*O135*VLOOKUP(F135,Paramétrage!$C$6:$E$27,2,0))))</f>
        <v>0</v>
      </c>
      <c r="Q135" s="68"/>
      <c r="R135" s="44">
        <f t="shared" si="41"/>
        <v>0</v>
      </c>
      <c r="S135" s="61">
        <f>IF(F135="",0,IF(ISERROR(Q135+P135*VLOOKUP(F135,Paramétrage!$C$6:$E$27,3,0))=TRUE,R135,Q135+P135*VLOOKUP(F135,Paramétrage!$C$6:$E$27,3,0)))</f>
        <v>0</v>
      </c>
      <c r="T135" s="72"/>
      <c r="U135" s="72"/>
      <c r="V135" s="72"/>
      <c r="W135" s="72"/>
      <c r="X135" s="431">
        <f t="shared" si="42"/>
        <v>0</v>
      </c>
      <c r="Y135" s="92"/>
      <c r="Z135" s="92"/>
      <c r="AA135" s="93"/>
      <c r="AB135" s="60">
        <f>IF(B135="",0,IF(D135="",0,IF(SUMIF(B135:B141,B135,H135:H141)=0,0,IF(E135="",AC135/SUMIF(B135:B141,B135,H135:H141),AC135/(SUMIF(B135:B141,B135,H135:H141)/E135)))))</f>
        <v>0</v>
      </c>
      <c r="AC135" s="45">
        <f t="shared" si="43"/>
        <v>0</v>
      </c>
    </row>
    <row r="136" spans="1:29" x14ac:dyDescent="0.25">
      <c r="A136" s="490"/>
      <c r="B136" s="96"/>
      <c r="C136" s="64"/>
      <c r="D136" s="87"/>
      <c r="E136" s="65"/>
      <c r="F136" s="66"/>
      <c r="G136" s="77"/>
      <c r="H136" s="72"/>
      <c r="I136" s="82"/>
      <c r="J136" s="69"/>
      <c r="K136" s="459"/>
      <c r="L136" s="459"/>
      <c r="M136" s="459"/>
      <c r="N136" s="461"/>
      <c r="O136" s="427" t="str">
        <f>IF(OR(I136="",F136=Paramétrage!$C$9,F136=Paramétrage!$C$12,F136=Paramétrage!$C$15,F136=Paramétrage!$C$18,F136=[1]Paramétrage!$C$23,F136=Paramétrage!$C$25,J136="Mut+ext"),"",ROUNDUP(H136/I136,0))</f>
        <v/>
      </c>
      <c r="P136" s="46">
        <f>IF(F136="",0,IF(OR(J136="Mut+ext",VLOOKUP(F136,Paramétrage!$C$6:$E$27,2,0)=0),0,IF(I136="","saisir capacité",G136*O136*VLOOKUP(F136,Paramétrage!$C$6:$E$27,2,0))))</f>
        <v>0</v>
      </c>
      <c r="Q136" s="68"/>
      <c r="R136" s="44">
        <f t="shared" si="41"/>
        <v>0</v>
      </c>
      <c r="S136" s="61">
        <f>IF(F136="",0,IF(ISERROR(Q136+P136*VLOOKUP(F136,Paramétrage!$C$6:$E$27,3,0))=TRUE,R136,Q136+P136*VLOOKUP(F136,Paramétrage!$C$6:$E$27,3,0)))</f>
        <v>0</v>
      </c>
      <c r="T136" s="72"/>
      <c r="U136" s="72"/>
      <c r="V136" s="72"/>
      <c r="W136" s="72"/>
      <c r="X136" s="431">
        <f t="shared" si="42"/>
        <v>0</v>
      </c>
      <c r="Y136" s="92"/>
      <c r="Z136" s="92"/>
      <c r="AA136" s="93"/>
      <c r="AB136" s="60">
        <f>IF(B136="",0,IF(D136="",0,IF(SUMIF(B136:B141,B136,H136:H141)=0,0,IF(E136="",AC136/SUMIF(B136:B141,B136,H136:H141),AC136/(SUMIF(B136:B141,B136,H136:H141)/E136)))))</f>
        <v>0</v>
      </c>
      <c r="AC136" s="45">
        <f t="shared" si="43"/>
        <v>0</v>
      </c>
    </row>
    <row r="137" spans="1:29" x14ac:dyDescent="0.25">
      <c r="A137" s="490"/>
      <c r="B137" s="95"/>
      <c r="C137" s="64"/>
      <c r="D137" s="87"/>
      <c r="E137" s="65"/>
      <c r="F137" s="66"/>
      <c r="G137" s="77"/>
      <c r="H137" s="72"/>
      <c r="I137" s="82"/>
      <c r="J137" s="69"/>
      <c r="K137" s="459"/>
      <c r="L137" s="459"/>
      <c r="M137" s="459"/>
      <c r="N137" s="461"/>
      <c r="O137" s="427" t="str">
        <f>IF(OR(I137="",F137=Paramétrage!$C$9,F137=Paramétrage!$C$12,F137=Paramétrage!$C$15,F137=Paramétrage!$C$18,F137=[1]Paramétrage!$C$23,F137=Paramétrage!$C$25,J137="Mut+ext"),"",ROUNDUP(H137/I137,0))</f>
        <v/>
      </c>
      <c r="P137" s="46">
        <f>IF(F137="",0,IF(OR(J137="Mut+ext",VLOOKUP(F137,Paramétrage!$C$6:$E$27,2,0)=0),0,IF(I137="","saisir capacité",G137*O137*VLOOKUP(F137,Paramétrage!$C$6:$E$27,2,0))))</f>
        <v>0</v>
      </c>
      <c r="Q137" s="68"/>
      <c r="R137" s="44">
        <f t="shared" si="41"/>
        <v>0</v>
      </c>
      <c r="S137" s="61">
        <f>IF(F137="",0,IF(ISERROR(Q137+P137*VLOOKUP(F137,Paramétrage!$C$6:$E$27,3,0))=TRUE,R137,Q137+P137*VLOOKUP(F137,Paramétrage!$C$6:$E$27,3,0)))</f>
        <v>0</v>
      </c>
      <c r="T137" s="72"/>
      <c r="U137" s="72"/>
      <c r="V137" s="72"/>
      <c r="W137" s="72"/>
      <c r="X137" s="431">
        <f t="shared" si="42"/>
        <v>0</v>
      </c>
      <c r="Y137" s="92"/>
      <c r="Z137" s="92"/>
      <c r="AA137" s="93"/>
      <c r="AB137" s="60">
        <f>IF(B137="",0,IF(D137="",0,IF(SUMIF(B137:B141,B137,H137:H141)=0,0,IF(E137="",AC137/SUMIF(B137:B141,B137,H137:H141),AC137/(SUMIF(B137:B141,B137,H137:H141)/E137)))))</f>
        <v>0</v>
      </c>
      <c r="AC137" s="45">
        <f t="shared" si="43"/>
        <v>0</v>
      </c>
    </row>
    <row r="138" spans="1:29" x14ac:dyDescent="0.25">
      <c r="A138" s="490"/>
      <c r="B138" s="95"/>
      <c r="C138" s="64"/>
      <c r="D138" s="87"/>
      <c r="E138" s="65"/>
      <c r="F138" s="66"/>
      <c r="G138" s="77"/>
      <c r="H138" s="72"/>
      <c r="I138" s="82"/>
      <c r="J138" s="69"/>
      <c r="K138" s="459"/>
      <c r="L138" s="459"/>
      <c r="M138" s="459"/>
      <c r="N138" s="461"/>
      <c r="O138" s="427" t="str">
        <f>IF(OR(I138="",F138=Paramétrage!$C$9,F138=Paramétrage!$C$12,F138=Paramétrage!$C$15,F138=Paramétrage!$C$18,F138=[1]Paramétrage!$C$23,F138=Paramétrage!$C$25,J138="Mut+ext"),"",ROUNDUP(H138/I138,0))</f>
        <v/>
      </c>
      <c r="P138" s="46">
        <f>IF(F138="",0,IF(OR(J138="Mut+ext",VLOOKUP(F138,Paramétrage!$C$6:$E$27,2,0)=0),0,IF(I138="","saisir capacité",G138*O138*VLOOKUP(F138,Paramétrage!$C$6:$E$27,2,0))))</f>
        <v>0</v>
      </c>
      <c r="Q138" s="68"/>
      <c r="R138" s="44">
        <f t="shared" si="41"/>
        <v>0</v>
      </c>
      <c r="S138" s="61">
        <f>IF(F138="",0,IF(ISERROR(Q138+P138*VLOOKUP(F138,Paramétrage!$C$6:$E$27,3,0))=TRUE,R138,Q138+P138*VLOOKUP(F138,Paramétrage!$C$6:$E$27,3,0)))</f>
        <v>0</v>
      </c>
      <c r="T138" s="74"/>
      <c r="U138" s="74"/>
      <c r="V138" s="74"/>
      <c r="W138" s="74"/>
      <c r="X138" s="431">
        <f t="shared" si="42"/>
        <v>0</v>
      </c>
      <c r="Y138" s="465"/>
      <c r="Z138" s="465"/>
      <c r="AA138" s="466"/>
      <c r="AB138" s="60">
        <f>IF(B138="",0,IF(D138="",0,IF(SUMIF(B138:B141,B138,H138:H141)=0,0,IF(E138="",AC138/SUMIF(B138:B141,B138,H138:H141),AC138/(SUMIF(B138:B141,B138,H138:H141)/E138)))))</f>
        <v>0</v>
      </c>
      <c r="AC138" s="45">
        <f>G138*H138</f>
        <v>0</v>
      </c>
    </row>
    <row r="139" spans="1:29" x14ac:dyDescent="0.25">
      <c r="A139" s="490"/>
      <c r="B139" s="95"/>
      <c r="C139" s="64"/>
      <c r="D139" s="87"/>
      <c r="E139" s="65"/>
      <c r="F139" s="66"/>
      <c r="G139" s="77"/>
      <c r="H139" s="72"/>
      <c r="I139" s="82"/>
      <c r="J139" s="69"/>
      <c r="K139" s="459"/>
      <c r="L139" s="459"/>
      <c r="M139" s="459"/>
      <c r="N139" s="461"/>
      <c r="O139" s="427" t="str">
        <f>IF(OR(I139="",F139=Paramétrage!$C$9,F139=Paramétrage!$C$12,F139=Paramétrage!$C$15,F139=Paramétrage!$C$18,F139=[1]Paramétrage!$C$23,F139=Paramétrage!$C$25,J139="Mut+ext"),"",ROUNDUP(H139/I139,0))</f>
        <v/>
      </c>
      <c r="P139" s="46">
        <f>IF(F139="",0,IF(OR(J139="Mut+ext",VLOOKUP(F139,Paramétrage!$C$6:$E$27,2,0)=0),0,IF(I139="","saisir capacité",G139*O139*VLOOKUP(F139,Paramétrage!$C$6:$E$27,2,0))))</f>
        <v>0</v>
      </c>
      <c r="Q139" s="68"/>
      <c r="R139" s="44">
        <f t="shared" si="41"/>
        <v>0</v>
      </c>
      <c r="S139" s="61">
        <f>IF(F139="",0,IF(ISERROR(Q139+P139*VLOOKUP(F139,Paramétrage!$C$6:$E$27,3,0))=TRUE,R139,Q139+P139*VLOOKUP(F139,Paramétrage!$C$6:$E$27,3,0)))</f>
        <v>0</v>
      </c>
      <c r="T139" s="73"/>
      <c r="U139" s="73"/>
      <c r="V139" s="73"/>
      <c r="W139" s="73"/>
      <c r="X139" s="431">
        <f t="shared" si="42"/>
        <v>0</v>
      </c>
      <c r="Y139" s="465"/>
      <c r="Z139" s="465"/>
      <c r="AA139" s="466"/>
      <c r="AB139" s="60">
        <f>IF(B139="",0,IF(D139="",0,IF(SUMIF(B139:B141,B139,H139:H141)=0,0,IF(E139="",AC139/SUMIF(B139:B141,B139,H139:H141),AC139/(SUMIF(B139:B141,B139,H139:H141)/E139)))))</f>
        <v>0</v>
      </c>
      <c r="AC139" s="45">
        <f>G139*H139</f>
        <v>0</v>
      </c>
    </row>
    <row r="140" spans="1:29" x14ac:dyDescent="0.25">
      <c r="A140" s="490"/>
      <c r="B140" s="95"/>
      <c r="C140" s="64"/>
      <c r="D140" s="87"/>
      <c r="E140" s="65"/>
      <c r="F140" s="66"/>
      <c r="G140" s="77"/>
      <c r="H140" s="72"/>
      <c r="I140" s="82"/>
      <c r="J140" s="69"/>
      <c r="K140" s="459"/>
      <c r="L140" s="459"/>
      <c r="M140" s="459"/>
      <c r="N140" s="461"/>
      <c r="O140" s="427" t="str">
        <f>IF(OR(I140="",F140=Paramétrage!$C$9,F140=Paramétrage!$C$12,F140=Paramétrage!$C$15,F140=Paramétrage!$C$18,F140=[1]Paramétrage!$C$23,F140=Paramétrage!$C$25,J140="Mut+ext"),"",ROUNDUP(H140/I140,0))</f>
        <v/>
      </c>
      <c r="P140" s="46">
        <f>IF(F140="",0,IF(OR(J140="Mut+ext",VLOOKUP(F140,Paramétrage!$C$6:$E$27,2,0)=0),0,IF(I140="","saisir capacité",G140*O140*VLOOKUP(F140,Paramétrage!$C$6:$E$27,2,0))))</f>
        <v>0</v>
      </c>
      <c r="Q140" s="68"/>
      <c r="R140" s="44">
        <f t="shared" si="41"/>
        <v>0</v>
      </c>
      <c r="S140" s="61">
        <f>IF(F140="",0,IF(ISERROR(Q140+P140*VLOOKUP(F140,Paramétrage!$C$6:$E$27,3,0))=TRUE,R140,Q140+P140*VLOOKUP(F140,Paramétrage!$C$6:$E$27,3,0)))</f>
        <v>0</v>
      </c>
      <c r="T140" s="72"/>
      <c r="U140" s="72"/>
      <c r="V140" s="72"/>
      <c r="W140" s="72"/>
      <c r="X140" s="431">
        <f t="shared" si="42"/>
        <v>0</v>
      </c>
      <c r="Y140" s="465"/>
      <c r="Z140" s="465"/>
      <c r="AA140" s="466"/>
      <c r="AB140" s="60">
        <f>IF(B140="",0,IF(D140="",0,IF(SUMIF(B140:B141,B140,H140:H141)=0,0,IF(E140="",AC140/SUMIF(B140:B141,B140,H140:H141),AC140/(SUMIF(B140:B141,B140,H140:H141)/E140)))))</f>
        <v>0</v>
      </c>
      <c r="AC140" s="45">
        <f>G140*H140</f>
        <v>0</v>
      </c>
    </row>
    <row r="141" spans="1:29" ht="16.2" thickBot="1" x14ac:dyDescent="0.3">
      <c r="A141" s="489"/>
      <c r="B141" s="97"/>
      <c r="C141" s="49"/>
      <c r="D141" s="49"/>
      <c r="E141" s="50"/>
      <c r="F141" s="47"/>
      <c r="G141" s="84">
        <f>IF(SUM(H121:H140)=0,0,SUMPRODUCT(G121:G140,H121:H140)/SUM(H121:H140))</f>
        <v>0</v>
      </c>
      <c r="H141" s="78"/>
      <c r="I141" s="83"/>
      <c r="J141" s="89"/>
      <c r="K141" s="106"/>
      <c r="L141" s="106"/>
      <c r="M141" s="106"/>
      <c r="N141" s="107"/>
      <c r="O141" s="51"/>
      <c r="P141" s="108">
        <f>SUM(P121:P140)</f>
        <v>0</v>
      </c>
      <c r="Q141" s="47">
        <f>SUM(Q121:Q140)</f>
        <v>0</v>
      </c>
      <c r="R141" s="52">
        <f t="shared" ref="R141" si="44">P141+Q141</f>
        <v>0</v>
      </c>
      <c r="S141" s="109">
        <f>SUM(S121:S140)</f>
        <v>0</v>
      </c>
      <c r="T141" s="416"/>
      <c r="U141" s="416"/>
      <c r="V141" s="416"/>
      <c r="W141" s="416"/>
      <c r="X141" s="434"/>
      <c r="Y141" s="110"/>
      <c r="Z141" s="111"/>
      <c r="AA141" s="112"/>
      <c r="AB141" s="113">
        <f>SUM(AB121:AB140)</f>
        <v>0</v>
      </c>
      <c r="AC141" s="59">
        <f>SUM(AC121:AC140)</f>
        <v>0</v>
      </c>
    </row>
    <row r="142" spans="1:29" ht="16.2" thickBot="1" x14ac:dyDescent="0.3">
      <c r="A142" s="90"/>
      <c r="B142" s="53"/>
      <c r="C142" s="53"/>
      <c r="D142" s="53"/>
      <c r="E142" s="53"/>
      <c r="F142" s="54"/>
      <c r="G142" s="85">
        <f>ROUND(G36+G57+G78+G99+G141,1)</f>
        <v>0</v>
      </c>
      <c r="H142" s="55"/>
      <c r="I142" s="56"/>
      <c r="J142" s="55"/>
      <c r="K142" s="55"/>
      <c r="L142" s="55"/>
      <c r="M142" s="55"/>
      <c r="N142" s="70"/>
      <c r="O142" s="81"/>
      <c r="P142" s="117">
        <f>P36+P57+P78+P99+P141</f>
        <v>404</v>
      </c>
      <c r="Q142" s="117">
        <f t="shared" ref="Q142:S142" si="45">Q36+Q57+Q78+Q99+Q141</f>
        <v>0</v>
      </c>
      <c r="R142" s="117">
        <f t="shared" si="45"/>
        <v>404</v>
      </c>
      <c r="S142" s="57">
        <f t="shared" si="45"/>
        <v>440</v>
      </c>
      <c r="T142" s="428">
        <f>SUMIF($F$7:$F$141,"cm",T$7:T$141)*AB10+SUMIF($F$7:$F$141,"td",T$7:T$141)+SUMIF($F$7:$F$141,"TP",T$7:T$141)+SUMIF($F$7:$F$141,"foad",T$7:T$141)+SUMIF($F$7:$F$141,"METD",T$7:T$141)+SUMIF($F$7:$F$141,"PTTD",T$7:T$141)</f>
        <v>172</v>
      </c>
      <c r="U142" s="428">
        <f t="shared" ref="U142:X142" si="46">SUMIF($F$7:$F$141,"cm",U$7:U$141)*AC10+SUMIF($F$7:$F$141,"td",U$7:U$141)+SUMIF($F$7:$F$141,"TP",U$7:U$141)+SUMIF($F$7:$F$141,"foad",U$7:U$141)+SUMIF($F$7:$F$141,"METD",U$7:U$141)+SUMIF($F$7:$F$141,"PTTD",U$7:U$141)</f>
        <v>32</v>
      </c>
      <c r="V142" s="428">
        <f t="shared" si="46"/>
        <v>128</v>
      </c>
      <c r="W142" s="428">
        <f t="shared" si="46"/>
        <v>0</v>
      </c>
      <c r="X142" s="428">
        <f t="shared" si="46"/>
        <v>332</v>
      </c>
    </row>
    <row r="143" spans="1:29" ht="18" customHeight="1" x14ac:dyDescent="0.25">
      <c r="L143" s="58"/>
      <c r="T143" s="428">
        <f>SUMIF($F$7:$F$141,"PTAU",T$7:T$141)+SUMIF($F$7:$F$141,"AFEST",T$7:T$141)+SUMIF($F$7:$F$141,"MEAU",T$7:T$141)+SUMIF($F$7:$F$141,"ST",T$7:T$141)+SUMIF($F$7:$F$141,"ENT",T$7:T$141)</f>
        <v>0</v>
      </c>
      <c r="U143" s="428">
        <f t="shared" ref="U143:X143" si="47">SUMIF($F$7:$F$141,"PTAU",U$7:U$141)+SUMIF($F$7:$F$141,"AFEST",U$7:U$141)+SUMIF($F$7:$F$141,"MEAU",U$7:U$141)+SUMIF($F$7:$F$141,"ST",U$7:U$141)+SUMIF($F$7:$F$141,"ENT",U$7:U$141)</f>
        <v>0</v>
      </c>
      <c r="V143" s="428">
        <f t="shared" si="47"/>
        <v>0</v>
      </c>
      <c r="W143" s="428">
        <f t="shared" si="47"/>
        <v>0</v>
      </c>
      <c r="X143" s="428">
        <f t="shared" si="47"/>
        <v>0</v>
      </c>
    </row>
    <row r="144" spans="1:29" x14ac:dyDescent="0.25">
      <c r="T144" s="428"/>
      <c r="U144" s="428"/>
      <c r="V144" s="428"/>
      <c r="W144" s="428"/>
      <c r="X144" s="428">
        <f>X141+X120+X99+X57+X78+X36</f>
        <v>0</v>
      </c>
    </row>
  </sheetData>
  <sheetProtection formatCells="0" formatRows="0" autoFilter="0"/>
  <mergeCells count="243">
    <mergeCell ref="K133:N133"/>
    <mergeCell ref="K134:N134"/>
    <mergeCell ref="K135:N135"/>
    <mergeCell ref="K136:N136"/>
    <mergeCell ref="K137:N137"/>
    <mergeCell ref="A121:A141"/>
    <mergeCell ref="A7:A36"/>
    <mergeCell ref="A37:A57"/>
    <mergeCell ref="A58:A78"/>
    <mergeCell ref="A79:A99"/>
    <mergeCell ref="A100:A120"/>
    <mergeCell ref="K123:N123"/>
    <mergeCell ref="K124:N124"/>
    <mergeCell ref="K125:N125"/>
    <mergeCell ref="K119:N119"/>
    <mergeCell ref="K59:N59"/>
    <mergeCell ref="K72:N72"/>
    <mergeCell ref="K126:N126"/>
    <mergeCell ref="K127:N127"/>
    <mergeCell ref="K128:N128"/>
    <mergeCell ref="K129:N129"/>
    <mergeCell ref="K130:N130"/>
    <mergeCell ref="K131:N131"/>
    <mergeCell ref="K132:N132"/>
    <mergeCell ref="AB5:AB6"/>
    <mergeCell ref="AC5:AC6"/>
    <mergeCell ref="K37:N37"/>
    <mergeCell ref="K51:N51"/>
    <mergeCell ref="K52:N52"/>
    <mergeCell ref="K53:N53"/>
    <mergeCell ref="K54:N54"/>
    <mergeCell ref="K55:N55"/>
    <mergeCell ref="K56:N56"/>
    <mergeCell ref="Y10:AA10"/>
    <mergeCell ref="Y23:AA23"/>
    <mergeCell ref="Y24:AA24"/>
    <mergeCell ref="Y34:AA34"/>
    <mergeCell ref="Y19:AA19"/>
    <mergeCell ref="Y20:AA20"/>
    <mergeCell ref="Y21:AA21"/>
    <mergeCell ref="Y22:AA22"/>
    <mergeCell ref="K9:N9"/>
    <mergeCell ref="K10:N10"/>
    <mergeCell ref="K23:N23"/>
    <mergeCell ref="K8:N8"/>
    <mergeCell ref="Y35:AA35"/>
    <mergeCell ref="Y37:AA37"/>
    <mergeCell ref="Y38:AA38"/>
    <mergeCell ref="K117:N117"/>
    <mergeCell ref="K118:N118"/>
    <mergeCell ref="K122:N122"/>
    <mergeCell ref="K101:N101"/>
    <mergeCell ref="K114:N114"/>
    <mergeCell ref="K115:N115"/>
    <mergeCell ref="K116:N116"/>
    <mergeCell ref="K81:N81"/>
    <mergeCell ref="K97:N97"/>
    <mergeCell ref="K98:N98"/>
    <mergeCell ref="K94:N94"/>
    <mergeCell ref="K84:N84"/>
    <mergeCell ref="K85:N85"/>
    <mergeCell ref="K86:N86"/>
    <mergeCell ref="K87:N87"/>
    <mergeCell ref="K88:N88"/>
    <mergeCell ref="K89:N89"/>
    <mergeCell ref="K90:N90"/>
    <mergeCell ref="K91:N91"/>
    <mergeCell ref="K92:N92"/>
    <mergeCell ref="K105:N105"/>
    <mergeCell ref="K138:N138"/>
    <mergeCell ref="K139:N139"/>
    <mergeCell ref="K140:N140"/>
    <mergeCell ref="B5:B6"/>
    <mergeCell ref="K79:N79"/>
    <mergeCell ref="K100:N100"/>
    <mergeCell ref="K121:N121"/>
    <mergeCell ref="K96:N96"/>
    <mergeCell ref="K77:N77"/>
    <mergeCell ref="K75:N75"/>
    <mergeCell ref="K58:N58"/>
    <mergeCell ref="K24:N24"/>
    <mergeCell ref="K34:N34"/>
    <mergeCell ref="K76:N76"/>
    <mergeCell ref="K73:N73"/>
    <mergeCell ref="K74:N74"/>
    <mergeCell ref="K35:N35"/>
    <mergeCell ref="K38:N38"/>
    <mergeCell ref="K39:N39"/>
    <mergeCell ref="J5:J6"/>
    <mergeCell ref="C5:C6"/>
    <mergeCell ref="D5:D6"/>
    <mergeCell ref="E5:E6"/>
    <mergeCell ref="K5:N6"/>
    <mergeCell ref="F5:F6"/>
    <mergeCell ref="H5:H6"/>
    <mergeCell ref="I5:I6"/>
    <mergeCell ref="K7:N7"/>
    <mergeCell ref="K22:N22"/>
    <mergeCell ref="Y5:AA6"/>
    <mergeCell ref="Y7:AA7"/>
    <mergeCell ref="Y8:AA8"/>
    <mergeCell ref="Y9:AA9"/>
    <mergeCell ref="Y11:AA11"/>
    <mergeCell ref="Y12:AA12"/>
    <mergeCell ref="Y16:AA16"/>
    <mergeCell ref="Y17:AA17"/>
    <mergeCell ref="Y18:AA18"/>
    <mergeCell ref="Y13:AA13"/>
    <mergeCell ref="Y14:AA14"/>
    <mergeCell ref="Y15:AA15"/>
    <mergeCell ref="Y39:AA39"/>
    <mergeCell ref="Y47:AA47"/>
    <mergeCell ref="Y48:AA48"/>
    <mergeCell ref="Y49:AA49"/>
    <mergeCell ref="Y50:AA50"/>
    <mergeCell ref="Y40:AA40"/>
    <mergeCell ref="Y41:AA41"/>
    <mergeCell ref="Y44:AA44"/>
    <mergeCell ref="Y45:AA45"/>
    <mergeCell ref="Y46:AA46"/>
    <mergeCell ref="Y42:AA42"/>
    <mergeCell ref="Y43:AA43"/>
    <mergeCell ref="Y84:AA84"/>
    <mergeCell ref="Y85:AA85"/>
    <mergeCell ref="Y86:AA86"/>
    <mergeCell ref="Y87:AA87"/>
    <mergeCell ref="Y88:AA88"/>
    <mergeCell ref="Y89:AA89"/>
    <mergeCell ref="Y90:AA90"/>
    <mergeCell ref="Y91:AA91"/>
    <mergeCell ref="Y51:AA51"/>
    <mergeCell ref="Y52:AA52"/>
    <mergeCell ref="Y53:AA53"/>
    <mergeCell ref="Y54:AA54"/>
    <mergeCell ref="Y55:AA55"/>
    <mergeCell ref="Y56:AA56"/>
    <mergeCell ref="Y58:AA58"/>
    <mergeCell ref="Y59:AA59"/>
    <mergeCell ref="Y72:AA72"/>
    <mergeCell ref="Y73:AA73"/>
    <mergeCell ref="Y74:AA74"/>
    <mergeCell ref="Y75:AA75"/>
    <mergeCell ref="Y76:AA76"/>
    <mergeCell ref="Y77:AA77"/>
    <mergeCell ref="Y79:AA79"/>
    <mergeCell ref="Y114:AA114"/>
    <mergeCell ref="Y115:AA115"/>
    <mergeCell ref="Y116:AA116"/>
    <mergeCell ref="Y117:AA117"/>
    <mergeCell ref="Y118:AA118"/>
    <mergeCell ref="Y119:AA119"/>
    <mergeCell ref="Y121:AA121"/>
    <mergeCell ref="Y122:AA122"/>
    <mergeCell ref="Y138:AA138"/>
    <mergeCell ref="Y139:AA139"/>
    <mergeCell ref="Y140:AA140"/>
    <mergeCell ref="K11:N11"/>
    <mergeCell ref="K12:N12"/>
    <mergeCell ref="K16:N16"/>
    <mergeCell ref="K17:N17"/>
    <mergeCell ref="K18:N18"/>
    <mergeCell ref="K19:N19"/>
    <mergeCell ref="K20:N20"/>
    <mergeCell ref="K21:N21"/>
    <mergeCell ref="K13:N13"/>
    <mergeCell ref="K14:N14"/>
    <mergeCell ref="K15:N15"/>
    <mergeCell ref="K40:N40"/>
    <mergeCell ref="K41:N41"/>
    <mergeCell ref="K42:N42"/>
    <mergeCell ref="K43:N43"/>
    <mergeCell ref="K44:N44"/>
    <mergeCell ref="K45:N45"/>
    <mergeCell ref="K46:N46"/>
    <mergeCell ref="K47:N47"/>
    <mergeCell ref="K48:N48"/>
    <mergeCell ref="K49:N49"/>
    <mergeCell ref="K50:N50"/>
    <mergeCell ref="K60:N60"/>
    <mergeCell ref="Y60:AA60"/>
    <mergeCell ref="K61:N61"/>
    <mergeCell ref="Y61:AA61"/>
    <mergeCell ref="K62:N62"/>
    <mergeCell ref="Y62:AA62"/>
    <mergeCell ref="K63:N63"/>
    <mergeCell ref="Y63:AA63"/>
    <mergeCell ref="K64:N64"/>
    <mergeCell ref="Y64:AA64"/>
    <mergeCell ref="K65:N65"/>
    <mergeCell ref="Y65:AA65"/>
    <mergeCell ref="K66:N66"/>
    <mergeCell ref="Y66:AA66"/>
    <mergeCell ref="K67:N67"/>
    <mergeCell ref="Y67:AA67"/>
    <mergeCell ref="K68:N68"/>
    <mergeCell ref="Y68:AA68"/>
    <mergeCell ref="K69:N69"/>
    <mergeCell ref="Y69:AA69"/>
    <mergeCell ref="K70:N70"/>
    <mergeCell ref="Y70:AA70"/>
    <mergeCell ref="K71:N71"/>
    <mergeCell ref="Y71:AA71"/>
    <mergeCell ref="K82:N82"/>
    <mergeCell ref="Y82:AA82"/>
    <mergeCell ref="K83:N83"/>
    <mergeCell ref="Y83:AA83"/>
    <mergeCell ref="Y80:AA80"/>
    <mergeCell ref="Y81:AA81"/>
    <mergeCell ref="K80:N80"/>
    <mergeCell ref="Y92:AA92"/>
    <mergeCell ref="K93:N93"/>
    <mergeCell ref="Y93:AA93"/>
    <mergeCell ref="K102:N102"/>
    <mergeCell ref="Y102:AA102"/>
    <mergeCell ref="K103:N103"/>
    <mergeCell ref="Y103:AA103"/>
    <mergeCell ref="K104:N104"/>
    <mergeCell ref="Y104:AA104"/>
    <mergeCell ref="Y94:AA94"/>
    <mergeCell ref="Y95:AA95"/>
    <mergeCell ref="Y96:AA96"/>
    <mergeCell ref="Y97:AA97"/>
    <mergeCell ref="Y98:AA98"/>
    <mergeCell ref="Y100:AA100"/>
    <mergeCell ref="Y101:AA101"/>
    <mergeCell ref="K95:N95"/>
    <mergeCell ref="Y105:AA105"/>
    <mergeCell ref="K106:N106"/>
    <mergeCell ref="Y106:AA106"/>
    <mergeCell ref="K112:N112"/>
    <mergeCell ref="Y112:AA112"/>
    <mergeCell ref="K113:N113"/>
    <mergeCell ref="Y113:AA113"/>
    <mergeCell ref="K111:N111"/>
    <mergeCell ref="Y111:AA111"/>
    <mergeCell ref="K107:N107"/>
    <mergeCell ref="Y107:AA107"/>
    <mergeCell ref="K108:N108"/>
    <mergeCell ref="Y108:AA108"/>
    <mergeCell ref="K109:N109"/>
    <mergeCell ref="Y109:AA109"/>
    <mergeCell ref="K110:N110"/>
    <mergeCell ref="Y110:AA110"/>
  </mergeCells>
  <conditionalFormatting sqref="Y7">
    <cfRule type="expression" dxfId="74" priority="340">
      <formula>$F7=#REF!</formula>
    </cfRule>
    <cfRule type="expression" dxfId="73" priority="341">
      <formula>$F7=#REF!</formula>
    </cfRule>
    <cfRule type="expression" dxfId="72" priority="342">
      <formula>$F7=#REF!</formula>
    </cfRule>
    <cfRule type="expression" dxfId="71" priority="343">
      <formula>$F7=#REF!</formula>
    </cfRule>
  </conditionalFormatting>
  <conditionalFormatting sqref="Y8:Y10 Y24:Y35">
    <cfRule type="expression" dxfId="70" priority="306">
      <formula>$F8=#REF!</formula>
    </cfRule>
    <cfRule type="expression" dxfId="69" priority="307">
      <formula>$F8=#REF!</formula>
    </cfRule>
    <cfRule type="expression" dxfId="68" priority="308">
      <formula>$F8=#REF!</formula>
    </cfRule>
    <cfRule type="expression" dxfId="67" priority="309">
      <formula>$F8=#REF!</formula>
    </cfRule>
  </conditionalFormatting>
  <conditionalFormatting sqref="Y37:Y38 Y51:Y56">
    <cfRule type="expression" dxfId="66" priority="292">
      <formula>$F37=#REF!</formula>
    </cfRule>
    <cfRule type="expression" dxfId="65" priority="293">
      <formula>$F37=#REF!</formula>
    </cfRule>
    <cfRule type="expression" dxfId="64" priority="294">
      <formula>$F37=#REF!</formula>
    </cfRule>
    <cfRule type="expression" dxfId="63" priority="295">
      <formula>$F37=#REF!</formula>
    </cfRule>
  </conditionalFormatting>
  <conditionalFormatting sqref="Y58:Y77">
    <cfRule type="expression" dxfId="62" priority="278">
      <formula>$F58=#REF!</formula>
    </cfRule>
    <cfRule type="expression" dxfId="61" priority="279">
      <formula>$F58=#REF!</formula>
    </cfRule>
    <cfRule type="expression" dxfId="60" priority="280">
      <formula>$F58=#REF!</formula>
    </cfRule>
    <cfRule type="expression" dxfId="59" priority="281">
      <formula>$F58=#REF!</formula>
    </cfRule>
  </conditionalFormatting>
  <conditionalFormatting sqref="Y79:Y81 Y95:Y98">
    <cfRule type="expression" dxfId="58" priority="264">
      <formula>$F79=#REF!</formula>
    </cfRule>
    <cfRule type="expression" dxfId="57" priority="265">
      <formula>$F79=#REF!</formula>
    </cfRule>
    <cfRule type="expression" dxfId="56" priority="266">
      <formula>$F79=#REF!</formula>
    </cfRule>
    <cfRule type="expression" dxfId="55" priority="267">
      <formula>$F79=#REF!</formula>
    </cfRule>
  </conditionalFormatting>
  <conditionalFormatting sqref="Y100:Y119">
    <cfRule type="expression" dxfId="54" priority="250">
      <formula>$F100=#REF!</formula>
    </cfRule>
    <cfRule type="expression" dxfId="53" priority="251">
      <formula>$F100=#REF!</formula>
    </cfRule>
    <cfRule type="expression" dxfId="52" priority="252">
      <formula>$F100=#REF!</formula>
    </cfRule>
    <cfRule type="expression" dxfId="51" priority="253">
      <formula>$F100=#REF!</formula>
    </cfRule>
  </conditionalFormatting>
  <conditionalFormatting sqref="E10:E35 E100:E119">
    <cfRule type="expression" dxfId="50" priority="60">
      <formula>$D10="Obligatoire"</formula>
    </cfRule>
  </conditionalFormatting>
  <conditionalFormatting sqref="J100:J119 J142">
    <cfRule type="cellIs" dxfId="49" priority="59" operator="equal">
      <formula>"Mut+ext"</formula>
    </cfRule>
  </conditionalFormatting>
  <conditionalFormatting sqref="E120">
    <cfRule type="expression" dxfId="48" priority="89">
      <formula>$D120="Obligatoire"</formula>
    </cfRule>
  </conditionalFormatting>
  <conditionalFormatting sqref="E99">
    <cfRule type="expression" dxfId="47" priority="88">
      <formula>$D99="Obligatoire"</formula>
    </cfRule>
  </conditionalFormatting>
  <conditionalFormatting sqref="E78">
    <cfRule type="expression" dxfId="46" priority="87">
      <formula>$D78="Obligatoire"</formula>
    </cfRule>
  </conditionalFormatting>
  <conditionalFormatting sqref="E57">
    <cfRule type="expression" dxfId="45" priority="86">
      <formula>$D57="Obligatoire"</formula>
    </cfRule>
  </conditionalFormatting>
  <conditionalFormatting sqref="E36">
    <cfRule type="expression" dxfId="44" priority="85">
      <formula>$D36="Obligatoire"</formula>
    </cfRule>
  </conditionalFormatting>
  <conditionalFormatting sqref="E141">
    <cfRule type="expression" dxfId="43" priority="80">
      <formula>$D141="Obligatoire"</formula>
    </cfRule>
  </conditionalFormatting>
  <conditionalFormatting sqref="J36 J57 J78 J99 J120 J141">
    <cfRule type="cellIs" dxfId="42" priority="74" operator="equal">
      <formula>"Mut+ext"</formula>
    </cfRule>
  </conditionalFormatting>
  <conditionalFormatting sqref="E7:E8">
    <cfRule type="expression" dxfId="41" priority="73">
      <formula>$D7="Obligatoire"</formula>
    </cfRule>
  </conditionalFormatting>
  <conditionalFormatting sqref="J7:J35">
    <cfRule type="cellIs" dxfId="40" priority="71" operator="equal">
      <formula>"Mut+ext"</formula>
    </cfRule>
  </conditionalFormatting>
  <conditionalFormatting sqref="E37:E56">
    <cfRule type="expression" dxfId="39" priority="70">
      <formula>$D37="Obligatoire"</formula>
    </cfRule>
  </conditionalFormatting>
  <conditionalFormatting sqref="J37:J56">
    <cfRule type="cellIs" dxfId="38" priority="69" operator="equal">
      <formula>"Mut+ext"</formula>
    </cfRule>
  </conditionalFormatting>
  <conditionalFormatting sqref="E58:E77">
    <cfRule type="expression" dxfId="37" priority="68">
      <formula>$D58="Obligatoire"</formula>
    </cfRule>
  </conditionalFormatting>
  <conditionalFormatting sqref="J58:J77">
    <cfRule type="cellIs" dxfId="36" priority="67" operator="equal">
      <formula>"Mut+ext"</formula>
    </cfRule>
  </conditionalFormatting>
  <conditionalFormatting sqref="E79:E81 E95:E98">
    <cfRule type="expression" dxfId="35" priority="66">
      <formula>$D79="Obligatoire"</formula>
    </cfRule>
  </conditionalFormatting>
  <conditionalFormatting sqref="J79:J81 J95:J98">
    <cfRule type="cellIs" dxfId="34" priority="65" operator="equal">
      <formula>"Mut+ext"</formula>
    </cfRule>
  </conditionalFormatting>
  <conditionalFormatting sqref="Y11:Y23">
    <cfRule type="expression" dxfId="33" priority="26">
      <formula>$F11=#REF!</formula>
    </cfRule>
    <cfRule type="expression" dxfId="32" priority="27">
      <formula>$F11=#REF!</formula>
    </cfRule>
    <cfRule type="expression" dxfId="31" priority="28">
      <formula>$F11=#REF!</formula>
    </cfRule>
    <cfRule type="expression" dxfId="30" priority="29">
      <formula>$F11=#REF!</formula>
    </cfRule>
  </conditionalFormatting>
  <conditionalFormatting sqref="Y39 Y47:Y50">
    <cfRule type="expression" dxfId="29" priority="22">
      <formula>$F39=#REF!</formula>
    </cfRule>
    <cfRule type="expression" dxfId="28" priority="23">
      <formula>$F39=#REF!</formula>
    </cfRule>
    <cfRule type="expression" dxfId="27" priority="24">
      <formula>$F39=#REF!</formula>
    </cfRule>
    <cfRule type="expression" dxfId="26" priority="25">
      <formula>$F39=#REF!</formula>
    </cfRule>
  </conditionalFormatting>
  <conditionalFormatting sqref="Y40:Y41 Y44:Y46">
    <cfRule type="expression" dxfId="25" priority="14">
      <formula>$F40=#REF!</formula>
    </cfRule>
    <cfRule type="expression" dxfId="24" priority="15">
      <formula>$F40=#REF!</formula>
    </cfRule>
    <cfRule type="expression" dxfId="23" priority="16">
      <formula>$F40=#REF!</formula>
    </cfRule>
    <cfRule type="expression" dxfId="22" priority="17">
      <formula>$F40=#REF!</formula>
    </cfRule>
  </conditionalFormatting>
  <conditionalFormatting sqref="Y42:Y43">
    <cfRule type="expression" dxfId="21" priority="10">
      <formula>$F42=#REF!</formula>
    </cfRule>
    <cfRule type="expression" dxfId="20" priority="11">
      <formula>$F42=#REF!</formula>
    </cfRule>
    <cfRule type="expression" dxfId="19" priority="12">
      <formula>$F42=#REF!</formula>
    </cfRule>
    <cfRule type="expression" dxfId="18" priority="13">
      <formula>$F42=#REF!</formula>
    </cfRule>
  </conditionalFormatting>
  <conditionalFormatting sqref="Y82:Y94">
    <cfRule type="expression" dxfId="17" priority="6">
      <formula>$F82=#REF!</formula>
    </cfRule>
    <cfRule type="expression" dxfId="16" priority="7">
      <formula>$F82=#REF!</formula>
    </cfRule>
    <cfRule type="expression" dxfId="15" priority="8">
      <formula>$F82=#REF!</formula>
    </cfRule>
    <cfRule type="expression" dxfId="14" priority="9">
      <formula>$F82=#REF!</formula>
    </cfRule>
  </conditionalFormatting>
  <conditionalFormatting sqref="E82:E94">
    <cfRule type="expression" dxfId="13" priority="5">
      <formula>$D82="Obligatoire"</formula>
    </cfRule>
  </conditionalFormatting>
  <conditionalFormatting sqref="J82:J94">
    <cfRule type="cellIs" dxfId="12" priority="4" operator="equal">
      <formula>"Mut+ext"</formula>
    </cfRule>
  </conditionalFormatting>
  <conditionalFormatting sqref="E121:E140">
    <cfRule type="expression" dxfId="11" priority="3">
      <formula>$D121="Obligatoire"</formula>
    </cfRule>
  </conditionalFormatting>
  <conditionalFormatting sqref="J121:J140">
    <cfRule type="cellIs" dxfId="10" priority="2" operator="equal">
      <formula>"Mut+ext"</formula>
    </cfRule>
  </conditionalFormatting>
  <conditionalFormatting sqref="E9">
    <cfRule type="expression" dxfId="9" priority="1">
      <formula>$D9="Obligatoire"</formula>
    </cfRule>
  </conditionalFormatting>
  <dataValidations count="5">
    <dataValidation type="list" allowBlank="1" showInputMessage="1" showErrorMessage="1" sqref="I37:I56 I79:I98 I121:I140 I58:I77 I100:I119 I7:I35">
      <formula1>"300,40,35,30,25,24"</formula1>
    </dataValidation>
    <dataValidation type="list" allowBlank="1" showInputMessage="1" showErrorMessage="1" sqref="F141 F120 F36 F57">
      <formula1>#REF!</formula1>
    </dataValidation>
    <dataValidation type="list" allowBlank="1" showInputMessage="1" showErrorMessage="1" sqref="E100:E141 E79:E98 E7:E77">
      <formula1>"1,2,3,4"</formula1>
    </dataValidation>
    <dataValidation type="list" allowBlank="1" showInputMessage="1" showErrorMessage="1" sqref="D100:D141 D79:D98 D7:D77">
      <formula1>"Obligatoire,Option"</formula1>
    </dataValidation>
    <dataValidation type="list" allowBlank="1" showInputMessage="1" showErrorMessage="1" sqref="J121:J140 J37:J56 J58:J77 J79:J98 J100:J119 J7:J35">
      <formula1>"Non,Mut,Mut+ext"</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Paramétrage!$C$6:$C$27</xm:f>
          </x14:formula1>
          <xm:sqref>F58:F77 F121:F140 F100:F119 F79:F98 F37:F56 F7:F35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1"/>
  <sheetViews>
    <sheetView zoomScale="85" zoomScaleNormal="85" workbookViewId="0">
      <pane ySplit="11" topLeftCell="A12" activePane="bottomLeft" state="frozen"/>
      <selection pane="bottomLeft" activeCell="B15" sqref="B15:M15"/>
    </sheetView>
  </sheetViews>
  <sheetFormatPr baseColWidth="10" defaultColWidth="11.5546875" defaultRowHeight="13.8" x14ac:dyDescent="0.25"/>
  <cols>
    <col min="1" max="1" width="3.109375" style="120" customWidth="1"/>
    <col min="2" max="2" width="12.6640625" style="120" customWidth="1"/>
    <col min="3" max="3" width="24" style="120" customWidth="1"/>
    <col min="4" max="6" width="11.5546875" style="120"/>
    <col min="7" max="7" width="11.44140625" style="120" customWidth="1"/>
    <col min="8" max="11" width="11.5546875" style="120"/>
    <col min="12" max="12" width="22.33203125" style="120" customWidth="1"/>
    <col min="13" max="13" width="11.5546875" style="120" customWidth="1"/>
    <col min="14" max="14" width="24.33203125" style="120" customWidth="1"/>
    <col min="15" max="15" width="9.88671875" style="120" customWidth="1"/>
    <col min="16" max="17" width="6.6640625" style="120" customWidth="1"/>
    <col min="18" max="16384" width="11.5546875" style="120"/>
  </cols>
  <sheetData>
    <row r="1" spans="1:17" ht="7.2" customHeight="1" thickBot="1" x14ac:dyDescent="0.3">
      <c r="H1" s="121"/>
      <c r="I1" s="122"/>
      <c r="J1" s="123"/>
      <c r="K1" s="121"/>
      <c r="L1" s="121"/>
    </row>
    <row r="2" spans="1:17" ht="28.2" customHeight="1" thickBot="1" x14ac:dyDescent="0.3">
      <c r="A2" s="124"/>
      <c r="B2" s="496" t="s">
        <v>125</v>
      </c>
      <c r="C2" s="497"/>
      <c r="D2" s="497"/>
      <c r="E2" s="497"/>
      <c r="F2" s="497"/>
      <c r="G2" s="497"/>
      <c r="H2" s="497"/>
      <c r="I2" s="497"/>
      <c r="J2" s="497"/>
      <c r="K2" s="497"/>
      <c r="L2" s="497"/>
      <c r="M2" s="498"/>
    </row>
    <row r="3" spans="1:17" ht="12.6" customHeight="1" x14ac:dyDescent="0.25">
      <c r="F3" s="121"/>
      <c r="G3" s="121"/>
      <c r="H3" s="121"/>
      <c r="I3" s="121"/>
      <c r="J3" s="123"/>
      <c r="K3" s="121"/>
      <c r="L3" s="121"/>
    </row>
    <row r="4" spans="1:17" ht="22.2" customHeight="1" x14ac:dyDescent="0.25">
      <c r="C4" s="125" t="s">
        <v>126</v>
      </c>
      <c r="D4" s="493" t="s">
        <v>127</v>
      </c>
      <c r="E4" s="495"/>
      <c r="G4" s="125" t="s">
        <v>128</v>
      </c>
      <c r="H4" s="493" t="s">
        <v>129</v>
      </c>
      <c r="I4" s="494"/>
      <c r="J4" s="494"/>
      <c r="K4" s="495"/>
    </row>
    <row r="5" spans="1:17" ht="22.2" customHeight="1" x14ac:dyDescent="0.25">
      <c r="C5" s="126" t="s">
        <v>130</v>
      </c>
      <c r="D5" s="493" t="s">
        <v>131</v>
      </c>
      <c r="E5" s="495"/>
      <c r="G5" s="125" t="s">
        <v>132</v>
      </c>
      <c r="H5" s="493" t="s">
        <v>133</v>
      </c>
      <c r="I5" s="494"/>
      <c r="J5" s="494"/>
      <c r="K5" s="495"/>
    </row>
    <row r="6" spans="1:17" ht="22.2" customHeight="1" x14ac:dyDescent="0.25">
      <c r="C6" s="491" t="s">
        <v>134</v>
      </c>
      <c r="D6" s="492"/>
      <c r="E6" s="127">
        <v>15</v>
      </c>
      <c r="G6" s="125" t="s">
        <v>135</v>
      </c>
      <c r="H6" s="493" t="s">
        <v>136</v>
      </c>
      <c r="I6" s="494"/>
      <c r="J6" s="494"/>
      <c r="K6" s="495"/>
      <c r="N6" s="128" t="s">
        <v>137</v>
      </c>
    </row>
    <row r="7" spans="1:17" ht="22.2" customHeight="1" x14ac:dyDescent="0.25">
      <c r="C7" s="491" t="s">
        <v>138</v>
      </c>
      <c r="D7" s="492"/>
      <c r="E7" s="127">
        <v>15</v>
      </c>
      <c r="G7" s="129" t="s">
        <v>139</v>
      </c>
      <c r="J7" s="130">
        <v>2021</v>
      </c>
      <c r="K7" s="130">
        <v>2022</v>
      </c>
    </row>
    <row r="8" spans="1:17" ht="18" customHeight="1" x14ac:dyDescent="0.25">
      <c r="E8" s="131"/>
      <c r="G8" s="132"/>
    </row>
    <row r="9" spans="1:17" ht="25.95" customHeight="1" x14ac:dyDescent="0.25">
      <c r="B9" s="501" t="s">
        <v>140</v>
      </c>
      <c r="C9" s="501"/>
      <c r="D9" s="501"/>
      <c r="E9" s="133">
        <f>'[2]Budget détaillé'!J77</f>
        <v>0</v>
      </c>
      <c r="F9" s="502" t="s">
        <v>141</v>
      </c>
      <c r="G9" s="502"/>
      <c r="H9" s="134"/>
      <c r="I9" s="135" t="s">
        <v>142</v>
      </c>
      <c r="J9" s="133">
        <f>'Recettes et simulat'!J28+'Recettes et simulat'!F39-'[2]Budget détaillé'!K62</f>
        <v>109680</v>
      </c>
      <c r="K9" s="503" t="s">
        <v>143</v>
      </c>
      <c r="L9" s="504"/>
      <c r="M9" s="133">
        <f>'[2]Budget détaillé'!K63</f>
        <v>2064</v>
      </c>
    </row>
    <row r="10" spans="1:17" ht="22.2" customHeight="1" x14ac:dyDescent="0.25">
      <c r="B10" s="501" t="s">
        <v>144</v>
      </c>
      <c r="C10" s="501"/>
      <c r="D10" s="501"/>
      <c r="E10" s="133">
        <f>E9+J9</f>
        <v>109680</v>
      </c>
      <c r="F10" s="502"/>
      <c r="G10" s="502"/>
      <c r="H10" s="134"/>
      <c r="I10" s="136" t="s">
        <v>145</v>
      </c>
      <c r="J10" s="133">
        <f>'Recettes et simulat'!G28+'Recettes et simulat'!F39-'[2]Budget détaillé'!K62</f>
        <v>109680</v>
      </c>
    </row>
    <row r="11" spans="1:17" ht="16.95" customHeight="1" thickBot="1" x14ac:dyDescent="0.3"/>
    <row r="12" spans="1:17" ht="18.600000000000001" customHeight="1" thickBot="1" x14ac:dyDescent="0.3">
      <c r="B12" s="505" t="s">
        <v>146</v>
      </c>
      <c r="C12" s="506"/>
      <c r="D12" s="506"/>
      <c r="E12" s="506"/>
      <c r="F12" s="506"/>
      <c r="G12" s="506"/>
      <c r="H12" s="506"/>
      <c r="I12" s="506"/>
      <c r="J12" s="506"/>
      <c r="K12" s="506"/>
      <c r="L12" s="506"/>
      <c r="M12" s="507"/>
    </row>
    <row r="13" spans="1:17" ht="14.4" thickBot="1" x14ac:dyDescent="0.3"/>
    <row r="14" spans="1:17" ht="55.8" thickBot="1" x14ac:dyDescent="0.3">
      <c r="B14" s="137" t="s">
        <v>147</v>
      </c>
      <c r="C14" s="138" t="s">
        <v>148</v>
      </c>
      <c r="D14" s="138" t="s">
        <v>69</v>
      </c>
      <c r="E14" s="138" t="s">
        <v>149</v>
      </c>
      <c r="F14" s="138" t="s">
        <v>150</v>
      </c>
      <c r="G14" s="138" t="s">
        <v>151</v>
      </c>
      <c r="H14" s="139" t="s">
        <v>152</v>
      </c>
      <c r="I14" s="138" t="s">
        <v>153</v>
      </c>
      <c r="J14" s="138" t="s">
        <v>154</v>
      </c>
      <c r="K14" s="138" t="s">
        <v>155</v>
      </c>
      <c r="L14" s="508" t="s">
        <v>156</v>
      </c>
      <c r="M14" s="498"/>
      <c r="O14" s="140" t="s">
        <v>157</v>
      </c>
      <c r="P14" s="140">
        <v>250</v>
      </c>
      <c r="Q14" s="140">
        <v>400</v>
      </c>
    </row>
    <row r="15" spans="1:17" ht="20.399999999999999" customHeight="1" x14ac:dyDescent="0.25">
      <c r="B15" s="509" t="s">
        <v>158</v>
      </c>
      <c r="C15" s="510"/>
      <c r="D15" s="510"/>
      <c r="E15" s="510"/>
      <c r="F15" s="510"/>
      <c r="G15" s="510"/>
      <c r="H15" s="510"/>
      <c r="I15" s="510"/>
      <c r="J15" s="510"/>
      <c r="K15" s="510"/>
      <c r="L15" s="510"/>
      <c r="M15" s="511"/>
      <c r="O15" s="140" t="s">
        <v>159</v>
      </c>
      <c r="P15" s="140">
        <v>400</v>
      </c>
      <c r="Q15" s="140"/>
    </row>
    <row r="16" spans="1:17" ht="16.95" customHeight="1" thickBot="1" x14ac:dyDescent="0.3">
      <c r="B16" s="512" t="s">
        <v>160</v>
      </c>
      <c r="C16" s="513"/>
      <c r="D16" s="141">
        <v>404</v>
      </c>
      <c r="E16" s="142">
        <v>243</v>
      </c>
      <c r="F16" s="143">
        <v>15</v>
      </c>
      <c r="G16" s="144">
        <f>E16*F16</f>
        <v>3645</v>
      </c>
      <c r="H16" s="145"/>
      <c r="I16" s="146"/>
      <c r="J16" s="146"/>
      <c r="K16" s="147"/>
      <c r="L16" s="146"/>
      <c r="M16" s="148"/>
    </row>
    <row r="17" spans="2:13" ht="21" customHeight="1" x14ac:dyDescent="0.25">
      <c r="B17" s="509" t="s">
        <v>161</v>
      </c>
      <c r="C17" s="510"/>
      <c r="D17" s="510"/>
      <c r="E17" s="510"/>
      <c r="F17" s="510"/>
      <c r="G17" s="510"/>
      <c r="H17" s="510"/>
      <c r="I17" s="510"/>
      <c r="J17" s="510"/>
      <c r="K17" s="510"/>
      <c r="L17" s="510"/>
      <c r="M17" s="511"/>
    </row>
    <row r="18" spans="2:13" x14ac:dyDescent="0.25">
      <c r="B18" s="149" t="s">
        <v>162</v>
      </c>
      <c r="C18" s="150" t="s">
        <v>159</v>
      </c>
      <c r="D18" s="127"/>
      <c r="E18" s="451">
        <v>8000</v>
      </c>
      <c r="F18" s="127">
        <v>15</v>
      </c>
      <c r="G18" s="144">
        <f>E18*F18</f>
        <v>120000</v>
      </c>
      <c r="H18" s="144">
        <f t="shared" ref="H18:H27" si="0">IF(D18=0,0,E18/D18)</f>
        <v>0</v>
      </c>
      <c r="I18" s="151"/>
      <c r="J18" s="144">
        <f>G18*(1-I18)</f>
        <v>120000</v>
      </c>
      <c r="K18" s="144">
        <f t="shared" ref="K18:K27" si="1">IF((D18*F18)=0,0,J18/(D18*F18))</f>
        <v>0</v>
      </c>
      <c r="L18" s="499"/>
      <c r="M18" s="500"/>
    </row>
    <row r="19" spans="2:13" x14ac:dyDescent="0.25">
      <c r="B19" s="149" t="s">
        <v>163</v>
      </c>
      <c r="C19" s="150"/>
      <c r="D19" s="127"/>
      <c r="E19" s="142"/>
      <c r="F19" s="127"/>
      <c r="G19" s="144">
        <f t="shared" ref="G19:G27" si="2">E19*F19</f>
        <v>0</v>
      </c>
      <c r="H19" s="144">
        <f t="shared" si="0"/>
        <v>0</v>
      </c>
      <c r="I19" s="151"/>
      <c r="J19" s="144">
        <f t="shared" ref="J19:J27" si="3">G19*(1-I19)</f>
        <v>0</v>
      </c>
      <c r="K19" s="144">
        <f t="shared" si="1"/>
        <v>0</v>
      </c>
      <c r="L19" s="499"/>
      <c r="M19" s="500"/>
    </row>
    <row r="20" spans="2:13" x14ac:dyDescent="0.25">
      <c r="B20" s="149" t="s">
        <v>164</v>
      </c>
      <c r="C20" s="150"/>
      <c r="D20" s="127"/>
      <c r="E20" s="142"/>
      <c r="F20" s="127"/>
      <c r="G20" s="144">
        <f t="shared" si="2"/>
        <v>0</v>
      </c>
      <c r="H20" s="144">
        <f t="shared" si="0"/>
        <v>0</v>
      </c>
      <c r="I20" s="151"/>
      <c r="J20" s="144">
        <f t="shared" si="3"/>
        <v>0</v>
      </c>
      <c r="K20" s="144">
        <f t="shared" si="1"/>
        <v>0</v>
      </c>
      <c r="L20" s="499"/>
      <c r="M20" s="500"/>
    </row>
    <row r="21" spans="2:13" x14ac:dyDescent="0.25">
      <c r="B21" s="149" t="s">
        <v>165</v>
      </c>
      <c r="C21" s="150"/>
      <c r="D21" s="127"/>
      <c r="E21" s="142"/>
      <c r="F21" s="127"/>
      <c r="G21" s="144">
        <f t="shared" si="2"/>
        <v>0</v>
      </c>
      <c r="H21" s="144">
        <f t="shared" si="0"/>
        <v>0</v>
      </c>
      <c r="I21" s="151"/>
      <c r="J21" s="144">
        <f t="shared" si="3"/>
        <v>0</v>
      </c>
      <c r="K21" s="144">
        <f t="shared" si="1"/>
        <v>0</v>
      </c>
      <c r="L21" s="499"/>
      <c r="M21" s="500"/>
    </row>
    <row r="22" spans="2:13" x14ac:dyDescent="0.25">
      <c r="B22" s="149" t="s">
        <v>166</v>
      </c>
      <c r="C22" s="150"/>
      <c r="D22" s="127"/>
      <c r="E22" s="142"/>
      <c r="F22" s="127"/>
      <c r="G22" s="144">
        <f t="shared" si="2"/>
        <v>0</v>
      </c>
      <c r="H22" s="144">
        <f t="shared" si="0"/>
        <v>0</v>
      </c>
      <c r="I22" s="151"/>
      <c r="J22" s="144">
        <f t="shared" si="3"/>
        <v>0</v>
      </c>
      <c r="K22" s="144">
        <f t="shared" si="1"/>
        <v>0</v>
      </c>
      <c r="L22" s="499"/>
      <c r="M22" s="500"/>
    </row>
    <row r="23" spans="2:13" x14ac:dyDescent="0.25">
      <c r="B23" s="149" t="s">
        <v>167</v>
      </c>
      <c r="C23" s="150"/>
      <c r="D23" s="127"/>
      <c r="E23" s="142"/>
      <c r="F23" s="127"/>
      <c r="G23" s="144">
        <f t="shared" si="2"/>
        <v>0</v>
      </c>
      <c r="H23" s="144">
        <f t="shared" si="0"/>
        <v>0</v>
      </c>
      <c r="I23" s="151"/>
      <c r="J23" s="144">
        <f t="shared" si="3"/>
        <v>0</v>
      </c>
      <c r="K23" s="144">
        <f t="shared" si="1"/>
        <v>0</v>
      </c>
      <c r="L23" s="499"/>
      <c r="M23" s="500"/>
    </row>
    <row r="24" spans="2:13" x14ac:dyDescent="0.25">
      <c r="B24" s="149" t="s">
        <v>168</v>
      </c>
      <c r="C24" s="150"/>
      <c r="D24" s="127"/>
      <c r="E24" s="142"/>
      <c r="F24" s="127"/>
      <c r="G24" s="144">
        <f t="shared" si="2"/>
        <v>0</v>
      </c>
      <c r="H24" s="144">
        <f t="shared" si="0"/>
        <v>0</v>
      </c>
      <c r="I24" s="151"/>
      <c r="J24" s="144">
        <f t="shared" si="3"/>
        <v>0</v>
      </c>
      <c r="K24" s="144">
        <f t="shared" si="1"/>
        <v>0</v>
      </c>
      <c r="L24" s="499"/>
      <c r="M24" s="500"/>
    </row>
    <row r="25" spans="2:13" x14ac:dyDescent="0.25">
      <c r="B25" s="149" t="s">
        <v>169</v>
      </c>
      <c r="C25" s="150"/>
      <c r="D25" s="127"/>
      <c r="E25" s="142"/>
      <c r="F25" s="127"/>
      <c r="G25" s="144">
        <f t="shared" si="2"/>
        <v>0</v>
      </c>
      <c r="H25" s="144">
        <f t="shared" si="0"/>
        <v>0</v>
      </c>
      <c r="I25" s="151"/>
      <c r="J25" s="144">
        <f t="shared" si="3"/>
        <v>0</v>
      </c>
      <c r="K25" s="144">
        <f t="shared" si="1"/>
        <v>0</v>
      </c>
      <c r="L25" s="499"/>
      <c r="M25" s="500"/>
    </row>
    <row r="26" spans="2:13" x14ac:dyDescent="0.25">
      <c r="B26" s="149" t="s">
        <v>170</v>
      </c>
      <c r="C26" s="150"/>
      <c r="D26" s="127"/>
      <c r="E26" s="142"/>
      <c r="F26" s="127"/>
      <c r="G26" s="144">
        <f t="shared" si="2"/>
        <v>0</v>
      </c>
      <c r="H26" s="144">
        <f t="shared" si="0"/>
        <v>0</v>
      </c>
      <c r="I26" s="151"/>
      <c r="J26" s="144">
        <f t="shared" si="3"/>
        <v>0</v>
      </c>
      <c r="K26" s="144">
        <f t="shared" si="1"/>
        <v>0</v>
      </c>
      <c r="L26" s="499"/>
      <c r="M26" s="500"/>
    </row>
    <row r="27" spans="2:13" x14ac:dyDescent="0.25">
      <c r="B27" s="152" t="s">
        <v>171</v>
      </c>
      <c r="C27" s="153"/>
      <c r="D27" s="127"/>
      <c r="E27" s="154"/>
      <c r="F27" s="127"/>
      <c r="G27" s="144">
        <f t="shared" si="2"/>
        <v>0</v>
      </c>
      <c r="H27" s="144">
        <f t="shared" si="0"/>
        <v>0</v>
      </c>
      <c r="I27" s="151"/>
      <c r="J27" s="144">
        <f t="shared" si="3"/>
        <v>0</v>
      </c>
      <c r="K27" s="144">
        <f t="shared" si="1"/>
        <v>0</v>
      </c>
      <c r="L27" s="499"/>
      <c r="M27" s="500"/>
    </row>
    <row r="28" spans="2:13" ht="14.4" thickBot="1" x14ac:dyDescent="0.3">
      <c r="B28" s="519" t="s">
        <v>172</v>
      </c>
      <c r="C28" s="520"/>
      <c r="D28" s="155"/>
      <c r="E28" s="156"/>
      <c r="F28" s="155">
        <f>SUM(F18:F27)</f>
        <v>15</v>
      </c>
      <c r="G28" s="157">
        <f>SUM(G18:G27)</f>
        <v>120000</v>
      </c>
      <c r="H28" s="158">
        <f>IF(SUMPRODUCT(F18:F27,D18:D27)=0,0,G28/SUMPRODUCT(F18:F27,D18:D27))</f>
        <v>0</v>
      </c>
      <c r="I28" s="155"/>
      <c r="J28" s="157">
        <f>SUM(J18:J27)</f>
        <v>120000</v>
      </c>
      <c r="K28" s="157">
        <f>IF(D28=0,0,IF(SUMPRODUCT(F18:F27,D18:D27)=0,0,J28/SUMPRODUCT(F18:F27,D18:D27)))</f>
        <v>0</v>
      </c>
      <c r="L28" s="521"/>
      <c r="M28" s="522"/>
    </row>
    <row r="29" spans="2:13" x14ac:dyDescent="0.25">
      <c r="B29" s="129"/>
      <c r="C29" s="129"/>
      <c r="D29" s="126"/>
      <c r="E29" s="132"/>
      <c r="F29" s="126"/>
      <c r="G29" s="159"/>
      <c r="H29" s="159"/>
      <c r="I29" s="132"/>
      <c r="J29" s="159"/>
      <c r="K29" s="159"/>
      <c r="L29" s="159"/>
      <c r="M29" s="132"/>
    </row>
    <row r="30" spans="2:13" ht="14.4" thickBot="1" x14ac:dyDescent="0.3"/>
    <row r="31" spans="2:13" ht="18.600000000000001" customHeight="1" thickBot="1" x14ac:dyDescent="0.3">
      <c r="B31" s="505" t="s">
        <v>173</v>
      </c>
      <c r="C31" s="506"/>
      <c r="D31" s="506"/>
      <c r="E31" s="506"/>
      <c r="F31" s="506"/>
      <c r="G31" s="506"/>
      <c r="H31" s="506"/>
      <c r="I31" s="506"/>
      <c r="J31" s="506"/>
      <c r="K31" s="506"/>
      <c r="L31" s="506"/>
      <c r="M31" s="507"/>
    </row>
    <row r="32" spans="2:13" ht="14.4" thickBot="1" x14ac:dyDescent="0.3"/>
    <row r="33" spans="2:13" ht="21" customHeight="1" x14ac:dyDescent="0.25">
      <c r="B33" s="514" t="s">
        <v>174</v>
      </c>
      <c r="C33" s="515"/>
      <c r="D33" s="516"/>
      <c r="E33" s="160" t="s">
        <v>175</v>
      </c>
      <c r="F33" s="160" t="s">
        <v>176</v>
      </c>
      <c r="G33" s="517" t="s">
        <v>177</v>
      </c>
      <c r="H33" s="515"/>
      <c r="I33" s="515"/>
      <c r="J33" s="515"/>
      <c r="K33" s="518"/>
    </row>
    <row r="34" spans="2:13" x14ac:dyDescent="0.25">
      <c r="B34" s="523"/>
      <c r="C34" s="524"/>
      <c r="D34" s="524"/>
      <c r="E34" s="150"/>
      <c r="F34" s="142"/>
      <c r="G34" s="525"/>
      <c r="H34" s="525"/>
      <c r="I34" s="525"/>
      <c r="J34" s="525"/>
      <c r="K34" s="526"/>
    </row>
    <row r="35" spans="2:13" x14ac:dyDescent="0.25">
      <c r="B35" s="523"/>
      <c r="C35" s="524"/>
      <c r="D35" s="524"/>
      <c r="E35" s="150"/>
      <c r="F35" s="142"/>
      <c r="G35" s="525"/>
      <c r="H35" s="525"/>
      <c r="I35" s="525"/>
      <c r="J35" s="525"/>
      <c r="K35" s="526"/>
    </row>
    <row r="36" spans="2:13" x14ac:dyDescent="0.25">
      <c r="B36" s="523"/>
      <c r="C36" s="524"/>
      <c r="D36" s="524"/>
      <c r="E36" s="150"/>
      <c r="F36" s="142"/>
      <c r="G36" s="525"/>
      <c r="H36" s="525"/>
      <c r="I36" s="525"/>
      <c r="J36" s="525"/>
      <c r="K36" s="526"/>
    </row>
    <row r="37" spans="2:13" x14ac:dyDescent="0.25">
      <c r="B37" s="527"/>
      <c r="C37" s="528"/>
      <c r="D37" s="528"/>
      <c r="E37" s="150"/>
      <c r="F37" s="142"/>
      <c r="G37" s="525"/>
      <c r="H37" s="525"/>
      <c r="I37" s="525"/>
      <c r="J37" s="525"/>
      <c r="K37" s="526"/>
    </row>
    <row r="38" spans="2:13" x14ac:dyDescent="0.25">
      <c r="B38" s="527"/>
      <c r="C38" s="528"/>
      <c r="D38" s="528"/>
      <c r="E38" s="150"/>
      <c r="F38" s="142"/>
      <c r="G38" s="525"/>
      <c r="H38" s="525"/>
      <c r="I38" s="525"/>
      <c r="J38" s="525"/>
      <c r="K38" s="526"/>
    </row>
    <row r="39" spans="2:13" ht="14.4" thickBot="1" x14ac:dyDescent="0.3">
      <c r="B39" s="529" t="s">
        <v>178</v>
      </c>
      <c r="C39" s="530"/>
      <c r="D39" s="530"/>
      <c r="E39" s="530"/>
      <c r="F39" s="161">
        <f>SUM(F34:F38)</f>
        <v>0</v>
      </c>
      <c r="G39" s="531"/>
      <c r="H39" s="532"/>
      <c r="I39" s="532"/>
      <c r="J39" s="532"/>
      <c r="K39" s="533"/>
      <c r="L39" s="132"/>
      <c r="M39" s="132"/>
    </row>
    <row r="40" spans="2:13" x14ac:dyDescent="0.25">
      <c r="F40" s="121"/>
    </row>
    <row r="41" spans="2:13" ht="32.4" customHeight="1" x14ac:dyDescent="0.25"/>
  </sheetData>
  <sheetProtection formatCells="0" formatColumns="0" formatRows="0" autoFilter="0"/>
  <mergeCells count="44">
    <mergeCell ref="B37:D37"/>
    <mergeCell ref="G37:K37"/>
    <mergeCell ref="B38:D38"/>
    <mergeCell ref="G38:K38"/>
    <mergeCell ref="B39:E39"/>
    <mergeCell ref="G39:K39"/>
    <mergeCell ref="B34:D34"/>
    <mergeCell ref="G34:K34"/>
    <mergeCell ref="B35:D35"/>
    <mergeCell ref="G35:K35"/>
    <mergeCell ref="B36:D36"/>
    <mergeCell ref="G36:K36"/>
    <mergeCell ref="B33:D33"/>
    <mergeCell ref="G33:K33"/>
    <mergeCell ref="L20:M20"/>
    <mergeCell ref="L21:M21"/>
    <mergeCell ref="L22:M22"/>
    <mergeCell ref="L23:M23"/>
    <mergeCell ref="L24:M24"/>
    <mergeCell ref="L25:M25"/>
    <mergeCell ref="L26:M26"/>
    <mergeCell ref="L27:M27"/>
    <mergeCell ref="B28:C28"/>
    <mergeCell ref="L28:M28"/>
    <mergeCell ref="B31:M31"/>
    <mergeCell ref="L19:M19"/>
    <mergeCell ref="C7:D7"/>
    <mergeCell ref="B9:D9"/>
    <mergeCell ref="F9:G10"/>
    <mergeCell ref="K9:L9"/>
    <mergeCell ref="B10:D10"/>
    <mergeCell ref="B12:M12"/>
    <mergeCell ref="L14:M14"/>
    <mergeCell ref="B15:M15"/>
    <mergeCell ref="B16:C16"/>
    <mergeCell ref="B17:M17"/>
    <mergeCell ref="L18:M18"/>
    <mergeCell ref="C6:D6"/>
    <mergeCell ref="H6:K6"/>
    <mergeCell ref="B2:M2"/>
    <mergeCell ref="D4:E4"/>
    <mergeCell ref="H4:K4"/>
    <mergeCell ref="D5:E5"/>
    <mergeCell ref="H5:K5"/>
  </mergeCells>
  <conditionalFormatting sqref="J9:J10">
    <cfRule type="cellIs" dxfId="8" priority="8" operator="lessThan">
      <formula>0</formula>
    </cfRule>
    <cfRule type="cellIs" dxfId="7" priority="9" operator="greaterThan">
      <formula>0</formula>
    </cfRule>
  </conditionalFormatting>
  <conditionalFormatting sqref="E9">
    <cfRule type="cellIs" dxfId="6" priority="6" operator="lessThan">
      <formula>0</formula>
    </cfRule>
    <cfRule type="cellIs" dxfId="5" priority="7" operator="greaterThan">
      <formula>0</formula>
    </cfRule>
  </conditionalFormatting>
  <conditionalFormatting sqref="D18:D27">
    <cfRule type="expression" dxfId="4" priority="3" stopIfTrue="1">
      <formula>AND(C18=$O$15,D18&lt;$P$15)</formula>
    </cfRule>
    <cfRule type="expression" dxfId="3" priority="4" stopIfTrue="1">
      <formula>AND(C18=$O$14,D18&gt;$Q$14)</formula>
    </cfRule>
    <cfRule type="expression" dxfId="2" priority="5" stopIfTrue="1">
      <formula>AND(C18=$O$14,D18&lt;$P$14)</formula>
    </cfRule>
  </conditionalFormatting>
  <conditionalFormatting sqref="E10">
    <cfRule type="cellIs" dxfId="1" priority="1" operator="lessThan">
      <formula>0</formula>
    </cfRule>
    <cfRule type="cellIs" dxfId="0" priority="2" operator="greaterThan">
      <formula>0</formula>
    </cfRule>
  </conditionalFormatting>
  <dataValidations count="3">
    <dataValidation type="list" allowBlank="1" showInputMessage="1" showErrorMessage="1" sqref="C18:C27">
      <formula1>"Formation continue,Contrat d'apprentissage,Contrat de professionnalisation"</formula1>
    </dataValidation>
    <dataValidation type="list" allowBlank="1" showInputMessage="1" showErrorMessage="1" sqref="H4:K4">
      <formula1>"Licence Professionnelle,Licence,Master,Diplôme Universitaire Technologique,Diplôme Universitaire,Formation courte"</formula1>
    </dataValidation>
    <dataValidation type="list" allowBlank="1" showInputMessage="1" showErrorMessage="1" sqref="E34:E38">
      <formula1>"Région, Ministère,partenaire"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Paramétrage!$G$6:$G$17</xm:f>
          </x14:formula1>
          <xm:sqref>H6:K6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31"/>
  <sheetViews>
    <sheetView zoomScale="70" zoomScaleNormal="70" workbookViewId="0">
      <selection activeCell="A30" sqref="A30:XFD55"/>
    </sheetView>
  </sheetViews>
  <sheetFormatPr baseColWidth="10" defaultColWidth="11.5546875" defaultRowHeight="13.2" x14ac:dyDescent="0.25"/>
  <cols>
    <col min="1" max="1" width="11.5546875" style="1"/>
    <col min="2" max="2" width="34.6640625" style="1" bestFit="1" customWidth="1"/>
    <col min="3" max="3" width="6.6640625" style="1" bestFit="1" customWidth="1"/>
    <col min="4" max="4" width="5.6640625" style="1" customWidth="1"/>
    <col min="5" max="5" width="5.44140625" style="1" bestFit="1" customWidth="1"/>
    <col min="6" max="6" width="11.5546875" style="1"/>
    <col min="7" max="7" width="59.33203125" style="1" bestFit="1" customWidth="1"/>
    <col min="8" max="16384" width="11.5546875" style="1"/>
  </cols>
  <sheetData>
    <row r="3" spans="2:7" x14ac:dyDescent="0.25">
      <c r="B3" s="534" t="s">
        <v>179</v>
      </c>
      <c r="C3" s="534"/>
      <c r="D3" s="534"/>
      <c r="E3" s="534"/>
      <c r="G3" s="37" t="s">
        <v>180</v>
      </c>
    </row>
    <row r="4" spans="2:7" x14ac:dyDescent="0.25">
      <c r="B4" s="34"/>
      <c r="C4" s="35"/>
      <c r="D4" s="34"/>
      <c r="E4" s="36"/>
    </row>
    <row r="5" spans="2:7" ht="14.4" x14ac:dyDescent="0.25">
      <c r="D5" s="1" t="s">
        <v>181</v>
      </c>
      <c r="E5" s="452" t="s">
        <v>182</v>
      </c>
    </row>
    <row r="6" spans="2:7" ht="14.4" x14ac:dyDescent="0.25">
      <c r="B6" s="32" t="s">
        <v>183</v>
      </c>
      <c r="C6" s="31" t="s">
        <v>93</v>
      </c>
      <c r="D6" s="31">
        <v>1</v>
      </c>
      <c r="E6" s="31">
        <v>1.5</v>
      </c>
      <c r="G6" s="33" t="s">
        <v>184</v>
      </c>
    </row>
    <row r="7" spans="2:7" ht="14.4" x14ac:dyDescent="0.25">
      <c r="B7" s="32" t="s">
        <v>185</v>
      </c>
      <c r="C7" s="429" t="s">
        <v>89</v>
      </c>
      <c r="D7" s="31">
        <v>1</v>
      </c>
      <c r="E7" s="31">
        <v>1</v>
      </c>
      <c r="G7" s="33" t="s">
        <v>186</v>
      </c>
    </row>
    <row r="8" spans="2:7" ht="14.4" x14ac:dyDescent="0.25">
      <c r="B8" s="33" t="s">
        <v>187</v>
      </c>
      <c r="C8" s="429" t="s">
        <v>188</v>
      </c>
      <c r="D8" s="31">
        <v>1</v>
      </c>
      <c r="E8" s="31">
        <v>0.66</v>
      </c>
      <c r="G8" s="33" t="s">
        <v>189</v>
      </c>
    </row>
    <row r="9" spans="2:7" ht="14.4" x14ac:dyDescent="0.25">
      <c r="B9" s="32" t="s">
        <v>190</v>
      </c>
      <c r="C9" s="429" t="s">
        <v>191</v>
      </c>
      <c r="D9" s="429">
        <v>0</v>
      </c>
      <c r="E9" s="31">
        <v>0</v>
      </c>
      <c r="G9" s="33" t="s">
        <v>192</v>
      </c>
    </row>
    <row r="10" spans="2:7" ht="14.4" x14ac:dyDescent="0.25">
      <c r="B10" s="33" t="s">
        <v>193</v>
      </c>
      <c r="C10" s="429" t="s">
        <v>194</v>
      </c>
      <c r="D10" s="31">
        <v>1</v>
      </c>
      <c r="E10" s="31">
        <v>1</v>
      </c>
      <c r="G10" s="33" t="s">
        <v>195</v>
      </c>
    </row>
    <row r="11" spans="2:7" ht="14.4" x14ac:dyDescent="0.25">
      <c r="B11" s="33" t="s">
        <v>196</v>
      </c>
      <c r="C11" s="429" t="s">
        <v>197</v>
      </c>
      <c r="D11" s="31">
        <v>1</v>
      </c>
      <c r="E11" s="31">
        <v>1.5</v>
      </c>
      <c r="G11" s="33" t="s">
        <v>198</v>
      </c>
    </row>
    <row r="12" spans="2:7" ht="14.4" x14ac:dyDescent="0.25">
      <c r="B12" s="32" t="s">
        <v>199</v>
      </c>
      <c r="C12" s="429" t="s">
        <v>120</v>
      </c>
      <c r="D12" s="31">
        <v>0</v>
      </c>
      <c r="E12" s="31">
        <v>0</v>
      </c>
      <c r="G12" s="33" t="s">
        <v>200</v>
      </c>
    </row>
    <row r="13" spans="2:7" ht="14.4" x14ac:dyDescent="0.25">
      <c r="B13" s="33" t="s">
        <v>201</v>
      </c>
      <c r="C13" s="429" t="s">
        <v>202</v>
      </c>
      <c r="D13" s="31">
        <v>1</v>
      </c>
      <c r="E13" s="31">
        <v>1</v>
      </c>
      <c r="G13" s="33" t="s">
        <v>203</v>
      </c>
    </row>
    <row r="14" spans="2:7" ht="14.4" x14ac:dyDescent="0.25">
      <c r="B14" s="33" t="s">
        <v>204</v>
      </c>
      <c r="C14" s="429" t="s">
        <v>205</v>
      </c>
      <c r="D14" s="31">
        <v>1</v>
      </c>
      <c r="E14" s="31">
        <v>1.5</v>
      </c>
      <c r="G14" s="33" t="s">
        <v>206</v>
      </c>
    </row>
    <row r="15" spans="2:7" ht="14.4" x14ac:dyDescent="0.25">
      <c r="B15" s="32" t="s">
        <v>207</v>
      </c>
      <c r="C15" s="429" t="s">
        <v>208</v>
      </c>
      <c r="D15" s="31">
        <v>0</v>
      </c>
      <c r="E15" s="31">
        <v>0</v>
      </c>
      <c r="G15" s="33" t="s">
        <v>209</v>
      </c>
    </row>
    <row r="16" spans="2:7" ht="14.4" x14ac:dyDescent="0.25">
      <c r="B16" s="33" t="s">
        <v>210</v>
      </c>
      <c r="C16" s="429" t="s">
        <v>211</v>
      </c>
      <c r="D16" s="31">
        <v>1</v>
      </c>
      <c r="E16" s="31">
        <v>1</v>
      </c>
      <c r="G16" s="33" t="s">
        <v>136</v>
      </c>
    </row>
    <row r="17" spans="2:17" ht="14.4" x14ac:dyDescent="0.25">
      <c r="B17" s="33" t="s">
        <v>212</v>
      </c>
      <c r="C17" s="429" t="s">
        <v>213</v>
      </c>
      <c r="D17" s="31">
        <v>1</v>
      </c>
      <c r="E17" s="31">
        <v>1.5</v>
      </c>
      <c r="G17" s="33" t="s">
        <v>214</v>
      </c>
    </row>
    <row r="18" spans="2:17" ht="14.4" x14ac:dyDescent="0.25">
      <c r="B18" s="32" t="s">
        <v>215</v>
      </c>
      <c r="C18" s="429" t="s">
        <v>216</v>
      </c>
      <c r="D18" s="31">
        <v>0</v>
      </c>
      <c r="E18" s="31">
        <v>0</v>
      </c>
      <c r="G18" s="2"/>
    </row>
    <row r="19" spans="2:17" ht="14.4" x14ac:dyDescent="0.25">
      <c r="B19" s="33" t="s">
        <v>217</v>
      </c>
      <c r="C19" s="429" t="s">
        <v>218</v>
      </c>
      <c r="D19" s="31">
        <v>1</v>
      </c>
      <c r="E19" s="31">
        <v>1</v>
      </c>
    </row>
    <row r="20" spans="2:17" ht="14.4" x14ac:dyDescent="0.25">
      <c r="B20" s="33" t="s">
        <v>219</v>
      </c>
      <c r="C20" s="429" t="s">
        <v>220</v>
      </c>
      <c r="D20" s="31">
        <v>1</v>
      </c>
      <c r="E20" s="31">
        <v>1.5</v>
      </c>
    </row>
    <row r="21" spans="2:17" ht="14.4" x14ac:dyDescent="0.25">
      <c r="B21" s="32" t="s">
        <v>221</v>
      </c>
      <c r="C21" s="429" t="s">
        <v>222</v>
      </c>
      <c r="D21" s="31">
        <v>0</v>
      </c>
      <c r="E21" s="31">
        <v>0</v>
      </c>
    </row>
    <row r="22" spans="2:17" ht="14.4" x14ac:dyDescent="0.25">
      <c r="B22" s="32" t="s">
        <v>223</v>
      </c>
      <c r="C22" s="429" t="s">
        <v>224</v>
      </c>
      <c r="D22" s="31">
        <v>0</v>
      </c>
      <c r="E22" s="31">
        <v>0</v>
      </c>
    </row>
    <row r="23" spans="2:17" ht="14.4" x14ac:dyDescent="0.25">
      <c r="B23" s="33" t="s">
        <v>225</v>
      </c>
      <c r="C23" s="429" t="s">
        <v>226</v>
      </c>
      <c r="D23" s="429">
        <v>1</v>
      </c>
      <c r="E23" s="31">
        <v>1</v>
      </c>
    </row>
    <row r="24" spans="2:17" ht="14.4" x14ac:dyDescent="0.25">
      <c r="B24" s="33" t="s">
        <v>227</v>
      </c>
      <c r="C24" s="33" t="s">
        <v>228</v>
      </c>
      <c r="D24" s="32">
        <v>1</v>
      </c>
      <c r="E24" s="31">
        <v>1.5</v>
      </c>
    </row>
    <row r="25" spans="2:17" ht="14.4" x14ac:dyDescent="0.25">
      <c r="B25" s="32" t="s">
        <v>229</v>
      </c>
      <c r="C25" s="33" t="s">
        <v>230</v>
      </c>
      <c r="D25" s="33">
        <v>0</v>
      </c>
      <c r="E25" s="31">
        <v>0</v>
      </c>
    </row>
    <row r="26" spans="2:17" x14ac:dyDescent="0.25">
      <c r="B26" s="33" t="s">
        <v>231</v>
      </c>
      <c r="C26" s="33" t="s">
        <v>232</v>
      </c>
      <c r="D26" s="33">
        <v>1</v>
      </c>
      <c r="E26" s="32">
        <v>1</v>
      </c>
    </row>
    <row r="27" spans="2:17" x14ac:dyDescent="0.25">
      <c r="B27" s="33" t="s">
        <v>233</v>
      </c>
      <c r="C27" s="33" t="s">
        <v>234</v>
      </c>
      <c r="D27" s="33">
        <v>1</v>
      </c>
      <c r="E27" s="32">
        <v>1.5</v>
      </c>
    </row>
    <row r="30" spans="2:17" ht="13.8" x14ac:dyDescent="0.25">
      <c r="Q30" s="172"/>
    </row>
    <row r="31" spans="2:17" ht="13.8" x14ac:dyDescent="0.25">
      <c r="Q31" s="172"/>
    </row>
  </sheetData>
  <sortState ref="G6:G16">
    <sortCondition ref="G6"/>
  </sortState>
  <mergeCells count="1">
    <mergeCell ref="B3:E3"/>
  </mergeCells>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7"/>
  <sheetViews>
    <sheetView showGridLines="0" showZeros="0" tabSelected="1" zoomScale="85" zoomScaleNormal="85" zoomScaleSheetLayoutView="70" workbookViewId="0">
      <pane ySplit="9" topLeftCell="A13" activePane="bottomLeft" state="frozen"/>
      <selection pane="bottomLeft" activeCell="G23" sqref="G23:G24"/>
    </sheetView>
  </sheetViews>
  <sheetFormatPr baseColWidth="10" defaultColWidth="11.44140625" defaultRowHeight="13.2" outlineLevelRow="2" outlineLevelCol="1" x14ac:dyDescent="0.25"/>
  <cols>
    <col min="1" max="1" width="1.33203125" customWidth="1"/>
    <col min="2" max="2" width="5.6640625" customWidth="1"/>
    <col min="3" max="3" width="14.6640625" customWidth="1"/>
    <col min="4" max="4" width="16.44140625" customWidth="1"/>
    <col min="5" max="5" width="14.6640625" customWidth="1"/>
    <col min="6" max="6" width="4.6640625" customWidth="1"/>
    <col min="7" max="7" width="10.6640625" customWidth="1"/>
    <col min="8" max="11" width="11" customWidth="1"/>
    <col min="12" max="16" width="11" customWidth="1" outlineLevel="1"/>
    <col min="17" max="17" width="9.33203125" customWidth="1"/>
    <col min="18" max="18" width="6.88671875" customWidth="1"/>
    <col min="19" max="19" width="6.109375" customWidth="1"/>
    <col min="20" max="20" width="11.33203125" bestFit="1" customWidth="1"/>
    <col min="21" max="21" width="24.5546875" bestFit="1" customWidth="1"/>
  </cols>
  <sheetData>
    <row r="1" spans="1:22" ht="7.2" customHeight="1" thickBot="1" x14ac:dyDescent="0.3">
      <c r="A1" s="124"/>
      <c r="B1" s="124"/>
      <c r="C1" s="124"/>
      <c r="D1" s="124"/>
      <c r="E1" s="124"/>
      <c r="F1" s="124"/>
      <c r="G1" s="124"/>
      <c r="H1" s="162"/>
      <c r="I1" s="163"/>
      <c r="J1" s="164"/>
      <c r="K1" s="162"/>
      <c r="L1" s="162"/>
      <c r="M1" s="162"/>
      <c r="N1" s="162"/>
      <c r="O1" s="162"/>
      <c r="P1" s="162"/>
      <c r="Q1" s="120"/>
      <c r="R1" s="120"/>
      <c r="S1" s="124"/>
      <c r="T1" s="124"/>
      <c r="U1" s="124"/>
      <c r="V1" s="124"/>
    </row>
    <row r="2" spans="1:22" ht="28.2" customHeight="1" thickBot="1" x14ac:dyDescent="0.3">
      <c r="A2" s="124"/>
      <c r="B2" s="496" t="s">
        <v>235</v>
      </c>
      <c r="C2" s="497"/>
      <c r="D2" s="497"/>
      <c r="E2" s="497"/>
      <c r="F2" s="497"/>
      <c r="G2" s="497"/>
      <c r="H2" s="497"/>
      <c r="I2" s="497"/>
      <c r="J2" s="497"/>
      <c r="K2" s="498"/>
      <c r="L2" s="496" t="s">
        <v>236</v>
      </c>
      <c r="M2" s="497"/>
      <c r="N2" s="497"/>
      <c r="O2" s="497"/>
      <c r="P2" s="498"/>
      <c r="Q2" s="120"/>
      <c r="R2" s="120"/>
      <c r="S2" s="124"/>
      <c r="T2" s="124"/>
      <c r="U2" s="124"/>
      <c r="V2" s="124"/>
    </row>
    <row r="3" spans="1:22" ht="6.75" customHeight="1" x14ac:dyDescent="0.25">
      <c r="A3" s="124"/>
      <c r="B3" s="165"/>
      <c r="C3" s="165"/>
      <c r="D3" s="165"/>
      <c r="E3" s="165"/>
      <c r="F3" s="165"/>
      <c r="G3" s="165"/>
      <c r="H3" s="165"/>
      <c r="I3" s="165"/>
      <c r="J3" s="165"/>
      <c r="K3" s="165"/>
      <c r="L3" s="165"/>
      <c r="M3" s="165"/>
      <c r="N3" s="165"/>
      <c r="O3" s="165"/>
      <c r="P3" s="165"/>
      <c r="Q3" s="120"/>
      <c r="R3" s="120"/>
      <c r="S3" s="124"/>
      <c r="T3" s="124"/>
      <c r="U3" s="124"/>
      <c r="V3" s="124"/>
    </row>
    <row r="4" spans="1:22" ht="5.25" customHeight="1" x14ac:dyDescent="0.25">
      <c r="A4" s="124"/>
      <c r="B4" s="124"/>
      <c r="C4" s="124"/>
      <c r="D4" s="124"/>
      <c r="E4" s="124"/>
      <c r="F4" s="162"/>
      <c r="G4" s="162"/>
      <c r="H4" s="162"/>
      <c r="I4" s="162"/>
      <c r="J4" s="164"/>
      <c r="K4" s="162"/>
      <c r="L4" s="162"/>
      <c r="M4" s="162"/>
      <c r="N4" s="162"/>
      <c r="O4" s="162"/>
      <c r="P4" s="162"/>
      <c r="Q4" s="120"/>
      <c r="R4" s="120"/>
      <c r="S4" s="124"/>
      <c r="T4" s="124"/>
      <c r="U4" s="124"/>
      <c r="V4" s="124"/>
    </row>
    <row r="5" spans="1:22" ht="22.2" customHeight="1" x14ac:dyDescent="0.25">
      <c r="A5" s="124"/>
      <c r="B5" s="124"/>
      <c r="C5" s="166" t="s">
        <v>126</v>
      </c>
      <c r="D5" s="535" t="str">
        <f>'Recettes et simulat'!D4</f>
        <v>Université Lumière Lyon 2</v>
      </c>
      <c r="E5" s="536"/>
      <c r="F5" s="124"/>
      <c r="G5" s="166" t="s">
        <v>128</v>
      </c>
      <c r="H5" s="535" t="str">
        <f>'Recettes et simulat'!H4</f>
        <v>Master</v>
      </c>
      <c r="I5" s="537"/>
      <c r="J5" s="537"/>
      <c r="K5" s="536"/>
      <c r="L5" s="162"/>
      <c r="M5" s="162"/>
      <c r="N5" s="162"/>
      <c r="O5" s="162"/>
      <c r="P5" s="162"/>
      <c r="Q5" s="120"/>
      <c r="R5" s="120"/>
      <c r="S5" s="124"/>
      <c r="T5" s="124"/>
      <c r="U5" s="128" t="s">
        <v>137</v>
      </c>
      <c r="V5" s="124"/>
    </row>
    <row r="6" spans="1:22" ht="22.2" customHeight="1" x14ac:dyDescent="0.25">
      <c r="A6" s="124"/>
      <c r="B6" s="124"/>
      <c r="C6" s="165" t="s">
        <v>130</v>
      </c>
      <c r="D6" s="535" t="str">
        <f>'Recettes et simulat'!D5</f>
        <v>En cours</v>
      </c>
      <c r="E6" s="536"/>
      <c r="F6" s="124"/>
      <c r="G6" s="166" t="s">
        <v>237</v>
      </c>
      <c r="H6" s="535" t="str">
        <f>'Recettes et simulat'!H5</f>
        <v>GOESS</v>
      </c>
      <c r="I6" s="537"/>
      <c r="J6" s="537"/>
      <c r="K6" s="536"/>
      <c r="L6" s="162"/>
      <c r="M6" s="162"/>
      <c r="N6" s="162"/>
      <c r="O6" s="162"/>
      <c r="P6" s="162"/>
      <c r="Q6" s="120"/>
      <c r="R6" s="120"/>
      <c r="S6" s="124"/>
      <c r="T6" s="124"/>
      <c r="U6" s="124"/>
      <c r="V6" s="124"/>
    </row>
    <row r="7" spans="1:22" ht="22.2" customHeight="1" x14ac:dyDescent="0.25">
      <c r="A7" s="124"/>
      <c r="B7" s="124"/>
      <c r="C7" s="167" t="s">
        <v>134</v>
      </c>
      <c r="D7" s="168"/>
      <c r="E7" s="28">
        <f>'Recettes et simulat'!E6</f>
        <v>15</v>
      </c>
      <c r="F7" s="124"/>
      <c r="G7" s="166" t="s">
        <v>135</v>
      </c>
      <c r="H7" s="535" t="str">
        <f>'Recettes et simulat'!H6</f>
        <v>SEG - Sciences Economiques et de Gestion</v>
      </c>
      <c r="I7" s="537"/>
      <c r="J7" s="537"/>
      <c r="K7" s="536"/>
      <c r="L7" s="162"/>
      <c r="M7" s="162"/>
      <c r="N7" s="162"/>
      <c r="O7" s="162"/>
      <c r="P7" s="162"/>
      <c r="Q7" s="120"/>
      <c r="R7" s="120"/>
      <c r="S7" s="124"/>
      <c r="T7" s="124"/>
      <c r="U7" s="124"/>
      <c r="V7" s="124"/>
    </row>
    <row r="8" spans="1:22" ht="22.2" customHeight="1" x14ac:dyDescent="0.25">
      <c r="A8" s="124"/>
      <c r="B8" s="124"/>
      <c r="C8" s="167" t="s">
        <v>138</v>
      </c>
      <c r="D8" s="168"/>
      <c r="E8" s="28">
        <f>'Recettes et simulat'!E7</f>
        <v>15</v>
      </c>
      <c r="F8" s="124"/>
      <c r="G8" s="129" t="s">
        <v>139</v>
      </c>
      <c r="H8" s="124"/>
      <c r="I8" s="124"/>
      <c r="J8" s="169">
        <f>'Recettes et simulat'!J7</f>
        <v>2021</v>
      </c>
      <c r="K8" s="169">
        <f>'Recettes et simulat'!K7</f>
        <v>2022</v>
      </c>
      <c r="L8" s="124"/>
      <c r="M8" s="124"/>
      <c r="N8" s="124"/>
      <c r="O8" s="124"/>
      <c r="P8" s="124"/>
      <c r="Q8" s="120"/>
      <c r="R8" s="120"/>
      <c r="S8" s="124"/>
      <c r="T8" s="124"/>
      <c r="U8" s="124"/>
      <c r="V8" s="124"/>
    </row>
    <row r="9" spans="1:22" ht="22.2" customHeight="1" x14ac:dyDescent="0.25">
      <c r="A9" s="124"/>
      <c r="B9" s="124"/>
      <c r="C9" s="124"/>
      <c r="D9" s="124"/>
      <c r="E9" s="124"/>
      <c r="F9" s="124"/>
      <c r="G9" s="170"/>
      <c r="H9" s="124"/>
      <c r="I9" s="124"/>
      <c r="J9" s="124"/>
      <c r="K9" s="124"/>
      <c r="L9" s="124"/>
      <c r="M9" s="124"/>
      <c r="N9" s="124"/>
      <c r="O9" s="124"/>
      <c r="P9" s="124"/>
      <c r="Q9" s="120"/>
      <c r="R9" s="120"/>
      <c r="S9" s="124"/>
      <c r="T9" s="124"/>
      <c r="U9" s="171"/>
      <c r="V9" s="171"/>
    </row>
    <row r="10" spans="1:22" s="172" customFormat="1" ht="16.95" customHeight="1" thickBot="1" x14ac:dyDescent="0.3">
      <c r="C10" s="173"/>
      <c r="D10" s="173"/>
      <c r="E10" s="173"/>
      <c r="F10" s="173"/>
      <c r="G10" s="174"/>
      <c r="H10" s="174"/>
      <c r="I10" s="175"/>
      <c r="Q10" s="120"/>
      <c r="R10" s="176"/>
      <c r="S10" s="124"/>
      <c r="T10" s="171"/>
      <c r="U10" s="120"/>
      <c r="V10" s="124"/>
    </row>
    <row r="11" spans="1:22" ht="24.6" customHeight="1" thickBot="1" x14ac:dyDescent="0.3">
      <c r="A11" s="124"/>
      <c r="B11" s="496" t="s">
        <v>238</v>
      </c>
      <c r="C11" s="497"/>
      <c r="D11" s="497"/>
      <c r="E11" s="497"/>
      <c r="F11" s="497"/>
      <c r="G11" s="497"/>
      <c r="H11" s="497"/>
      <c r="I11" s="497"/>
      <c r="J11" s="497"/>
      <c r="K11" s="498"/>
      <c r="L11" s="177"/>
      <c r="M11" s="178"/>
      <c r="N11" s="178"/>
      <c r="O11" s="178"/>
      <c r="P11" s="179"/>
      <c r="Q11" s="120"/>
      <c r="R11" s="120"/>
      <c r="S11" s="124"/>
      <c r="T11" s="120"/>
      <c r="U11" s="120"/>
      <c r="V11" s="120"/>
    </row>
    <row r="12" spans="1:22" s="120" customFormat="1" ht="12.6" customHeight="1" thickBot="1" x14ac:dyDescent="0.3">
      <c r="B12" s="180"/>
      <c r="C12" s="181"/>
      <c r="D12" s="181"/>
      <c r="E12" s="181"/>
      <c r="F12" s="181"/>
      <c r="G12" s="181"/>
      <c r="H12" s="181"/>
      <c r="I12" s="181"/>
      <c r="J12" s="181"/>
      <c r="K12" s="181"/>
      <c r="L12" s="181"/>
      <c r="M12" s="181"/>
      <c r="N12" s="181"/>
      <c r="O12" s="181"/>
      <c r="P12" s="182"/>
      <c r="V12" s="124"/>
    </row>
    <row r="13" spans="1:22" s="124" customFormat="1" ht="69.599999999999994" thickBot="1" x14ac:dyDescent="0.3">
      <c r="B13" s="183" t="s">
        <v>239</v>
      </c>
      <c r="C13" s="541" t="s">
        <v>240</v>
      </c>
      <c r="D13" s="542"/>
      <c r="E13" s="542"/>
      <c r="F13" s="543"/>
      <c r="G13" s="184" t="s">
        <v>241</v>
      </c>
      <c r="H13" s="185" t="s">
        <v>242</v>
      </c>
      <c r="I13" s="185" t="s">
        <v>243</v>
      </c>
      <c r="J13" s="186" t="s">
        <v>244</v>
      </c>
      <c r="K13" s="187" t="s">
        <v>245</v>
      </c>
      <c r="L13" s="188" t="s">
        <v>246</v>
      </c>
      <c r="M13" s="189" t="s">
        <v>247</v>
      </c>
      <c r="N13" s="189" t="s">
        <v>248</v>
      </c>
      <c r="O13" s="190" t="s">
        <v>249</v>
      </c>
      <c r="P13" s="191" t="s">
        <v>151</v>
      </c>
      <c r="Q13" s="192"/>
      <c r="R13" s="193"/>
      <c r="T13" s="120"/>
      <c r="U13" s="120"/>
      <c r="V13" s="172"/>
    </row>
    <row r="14" spans="1:22" s="172" customFormat="1" ht="21.6" customHeight="1" thickBot="1" x14ac:dyDescent="0.3">
      <c r="B14" s="194" t="s">
        <v>250</v>
      </c>
      <c r="C14" s="195"/>
      <c r="D14" s="196"/>
      <c r="E14" s="196"/>
      <c r="F14" s="196"/>
      <c r="G14" s="197">
        <f>G20+G27+G32</f>
        <v>551</v>
      </c>
      <c r="H14" s="198">
        <f>IF(G20+G27+G32=0,0,(I20+I27+I32)/(G20+G27+G32))</f>
        <v>157.19827586206895</v>
      </c>
      <c r="I14" s="199">
        <f>I20+I32+I27</f>
        <v>86616.25</v>
      </c>
      <c r="J14" s="200">
        <f>J20+J32+J27</f>
        <v>848.25000000000011</v>
      </c>
      <c r="K14" s="201">
        <f>K20+K32+K27</f>
        <v>85768</v>
      </c>
      <c r="L14" s="202">
        <f>L20+L32+L27</f>
        <v>0</v>
      </c>
      <c r="M14" s="198">
        <f>M20+M32+M27</f>
        <v>0</v>
      </c>
      <c r="N14" s="199">
        <f t="shared" ref="N14:O14" si="0">N20+N32+N27</f>
        <v>0</v>
      </c>
      <c r="O14" s="198">
        <f t="shared" si="0"/>
        <v>0</v>
      </c>
      <c r="P14" s="201">
        <f>P20+P32+P27</f>
        <v>0</v>
      </c>
      <c r="Q14" s="203">
        <f>IF($K$72=0,0,K14/$K$72)</f>
        <v>0.71473333333333333</v>
      </c>
      <c r="R14" s="204" t="s">
        <v>251</v>
      </c>
      <c r="S14" s="124"/>
      <c r="T14" s="120"/>
      <c r="U14" s="120"/>
      <c r="V14" s="124"/>
    </row>
    <row r="15" spans="1:22" s="124" customFormat="1" ht="16.95" customHeight="1" outlineLevel="1" x14ac:dyDescent="0.25">
      <c r="B15" s="205" t="s">
        <v>252</v>
      </c>
      <c r="C15" s="206" t="s">
        <v>253</v>
      </c>
      <c r="D15" s="207"/>
      <c r="E15" s="207"/>
      <c r="F15" s="208"/>
      <c r="G15" s="209"/>
      <c r="H15" s="210"/>
      <c r="I15" s="209"/>
      <c r="J15" s="209"/>
      <c r="K15" s="211"/>
      <c r="L15" s="212"/>
      <c r="M15" s="210"/>
      <c r="N15" s="210"/>
      <c r="O15" s="210"/>
      <c r="P15" s="211"/>
      <c r="Q15" s="213"/>
      <c r="R15" s="214"/>
      <c r="S15" s="214"/>
      <c r="T15" s="214"/>
      <c r="U15" s="140"/>
      <c r="V15" s="172"/>
    </row>
    <row r="16" spans="1:22" s="172" customFormat="1" ht="16.95" customHeight="1" outlineLevel="1" x14ac:dyDescent="0.25">
      <c r="B16" s="215" t="s">
        <v>254</v>
      </c>
      <c r="C16" s="538" t="s">
        <v>79</v>
      </c>
      <c r="D16" s="539"/>
      <c r="E16" s="539"/>
      <c r="F16" s="540"/>
      <c r="G16" s="435">
        <f>SUMIF(Enseignements!$F$7:$F$141,Paramétrage!$C$6,Enseignements!T$7:T$141)+SUMIF(Enseignements!$F$7:$F$141,Paramétrage!$C$7,Enseignements!T$7:T$141)+SUMIF(Enseignements!$F$7:$F$141,Paramétrage!$C$8,Enseignements!T$7:T$141)+SUMIF(Enseignements!$F$7:$F$141,Paramétrage!$C$10,Enseignements!T$7:T$141)+SUMIF(Enseignements!$F$7:$F$141,Paramétrage!$C$11,Enseignements!T$7:T$141)+SUMIF(Enseignements!$F$7:$F$141,Paramétrage!$C$13,Enseignements!T$7:T$141)+SUMIF(Enseignements!$F$7:$F$141,Paramétrage!$C$14,Enseignements!T$7:T$141)+SUMIF(Enseignements!$F$7:$F$141,Paramétrage!$C$16,Enseignements!T$7:T$141)+SUMIF(Enseignements!$F$7:$F$141,Paramétrage!$C$17,Enseignements!T$7:T$141)+SUMIF(Enseignements!$F$7:$F$141,Paramétrage!$C$19,Enseignements!T$7:T$141)+SUMIF(Enseignements!$F$7:$F$141,Paramétrage!$C$20,Enseignements!T$7:T$141)+SUMIF(Enseignements!$F$7:$F$141,Paramétrage!$C$23,Enseignements!T$7:T$141)+SUMIF(Enseignements!$F$7:$F$141,Paramétrage!$C$24,Enseignements!T$7:T$141)+SUMIF(Enseignements!$F$7:$F$141,Paramétrage!$C$26,Enseignements!T$7:T$141)+SUMIF(Enseignements!$F$7:$F$141,Paramétrage!$C$27,Enseignements!T$7:T$141)</f>
        <v>262</v>
      </c>
      <c r="H16" s="217">
        <v>220</v>
      </c>
      <c r="I16" s="218">
        <f>H16*G16</f>
        <v>57640</v>
      </c>
      <c r="J16" s="218">
        <f>I16-K16</f>
        <v>0</v>
      </c>
      <c r="K16" s="219">
        <f>IF($E$7=0,0,I16/$E$7*$E$8)</f>
        <v>57640</v>
      </c>
      <c r="L16" s="220"/>
      <c r="M16" s="130"/>
      <c r="N16" s="130"/>
      <c r="O16" s="130"/>
      <c r="P16" s="221">
        <f>SUM(L16:O16)</f>
        <v>0</v>
      </c>
      <c r="Q16" s="222">
        <f>IF($I16=0,0,$G16*$J16/$I16)</f>
        <v>0</v>
      </c>
      <c r="R16" s="222"/>
      <c r="S16" s="222"/>
      <c r="T16" s="222"/>
      <c r="U16" s="222"/>
      <c r="V16" s="223"/>
    </row>
    <row r="17" spans="2:23" s="172" customFormat="1" ht="16.95" customHeight="1" outlineLevel="1" x14ac:dyDescent="0.25">
      <c r="B17" s="215" t="s">
        <v>255</v>
      </c>
      <c r="C17" s="538" t="s">
        <v>80</v>
      </c>
      <c r="D17" s="539"/>
      <c r="E17" s="539"/>
      <c r="F17" s="540"/>
      <c r="G17" s="436">
        <f>SUMIF(Enseignements!$F$7:$F$141,Paramétrage!$C$6,Enseignements!U$7:U$141)+SUMIF(Enseignements!$F$7:$F$141,Paramétrage!$C$7,Enseignements!U$7:U$141)+SUMIF(Enseignements!$F$7:$F$141,Paramétrage!$C$8,Enseignements!U$7:U$141)+SUMIF(Enseignements!$F$7:$F$141,Paramétrage!$C$10,Enseignements!U$7:U$141)+SUMIF(Enseignements!$F$7:$F$141,Paramétrage!$C$11,Enseignements!U$7:U$141)+SUMIF(Enseignements!$F$7:$F$141,Paramétrage!$C$13,Enseignements!U$7:U$141)+SUMIF(Enseignements!$F$7:$F$141,Paramétrage!$C$14,Enseignements!U$7:U$141)+SUMIF(Enseignements!$F$7:$F$141,Paramétrage!$C$16,Enseignements!U$7:U$141)+SUMIF(Enseignements!$F$7:$F$141,Paramétrage!$C$17,Enseignements!U$7:U$141)+SUMIF(Enseignements!$F$7:$F$141,Paramétrage!$C$19,Enseignements!U$7:U$141)+SUMIF(Enseignements!$F$7:$F$141,Paramétrage!$C$20,Enseignements!U$7:U$141)+SUMIF(Enseignements!$F$7:$F$141,Paramétrage!$C$23,Enseignements!U$7:U$141)+SUMIF(Enseignements!$F$7:$F$141,Paramétrage!$C$24,Enseignements!U$7:U$141)+SUMIF(Enseignements!$F$7:$F$141,Paramétrage!$C$26,Enseignements!U$7:U$141)+SUMIF(Enseignements!$F$7:$F$141,Paramétrage!$C$27,Enseignements!U$7:U$141)</f>
        <v>32</v>
      </c>
      <c r="H17" s="217">
        <v>188</v>
      </c>
      <c r="I17" s="225">
        <f>H17*G17</f>
        <v>6016</v>
      </c>
      <c r="J17" s="218">
        <f t="shared" ref="J17:J19" si="1">I17-K17</f>
        <v>0</v>
      </c>
      <c r="K17" s="219">
        <f t="shared" ref="K17:K19" si="2">IF($E$7=0,0,I17/$E$7*$E$8)</f>
        <v>6016</v>
      </c>
      <c r="L17" s="220"/>
      <c r="M17" s="130"/>
      <c r="N17" s="130"/>
      <c r="O17" s="130"/>
      <c r="P17" s="226">
        <f>SUM(L17:O17)</f>
        <v>0</v>
      </c>
      <c r="Q17" s="222">
        <f>IF($I17=0,0,$G17*$J17/$I17)</f>
        <v>0</v>
      </c>
      <c r="R17" s="222"/>
      <c r="S17" s="222"/>
      <c r="T17" s="222"/>
      <c r="U17" s="222"/>
      <c r="V17" s="223"/>
    </row>
    <row r="18" spans="2:23" s="172" customFormat="1" ht="16.95" customHeight="1" outlineLevel="1" x14ac:dyDescent="0.25">
      <c r="B18" s="215" t="s">
        <v>256</v>
      </c>
      <c r="C18" s="538" t="s">
        <v>257</v>
      </c>
      <c r="D18" s="539"/>
      <c r="E18" s="539"/>
      <c r="F18" s="540"/>
      <c r="G18" s="224">
        <f>SUMIF(Enseignements!$F$7:$F$141,Paramétrage!$C$6,Enseignements!V$7:V$141)+SUMIF(Enseignements!$F$7:$F$141,Paramétrage!$C$7,Enseignements!V$7:V$141)+SUMIF(Enseignements!$F$7:$F$141,Paramétrage!$C$8,Enseignements!V$7:V$141)+SUMIF(Enseignements!$F$7:$F$141,Paramétrage!$C$10,Enseignements!V$7:V$141)+SUMIF(Enseignements!$F$7:$F$141,Paramétrage!$C$11,Enseignements!V$7:V$141)+SUMIF(Enseignements!$F$7:$F$141,Paramétrage!$C$13,Enseignements!V$7:V$141)+SUMIF(Enseignements!$F$7:$F$141,Paramétrage!$C$14,Enseignements!V$7:V$141)+SUMIF(Enseignements!$F$7:$F$141,Paramétrage!$C$16,Enseignements!V$7:V$141)+SUMIF(Enseignements!$F$7:$F$141,Paramétrage!$C$17,Enseignements!V$7:V$141)+SUMIF(Enseignements!$F$7:$F$141,Paramétrage!$C$19,Enseignements!V$7:V$141)+SUMIF(Enseignements!$F$7:$F$141,Paramétrage!$C$20,Enseignements!V$7:V$141)+SUMIF(Enseignements!$F$7:$F$141,Paramétrage!$C$23,Enseignements!V$7:V$141)+SUMIF(Enseignements!$F$7:$F$141,Paramétrage!$C$24,Enseignements!V$7:V$141)+SUMIF(Enseignements!$F$7:$F$141,Paramétrage!$C$26,Enseignements!V$7:V$141)+SUMIF(Enseignements!$F$7:$F$141,Paramétrage!$C$27,Enseignements!V$7:V$141)</f>
        <v>146</v>
      </c>
      <c r="H18" s="217">
        <v>52</v>
      </c>
      <c r="I18" s="225">
        <f>H18*G18</f>
        <v>7592</v>
      </c>
      <c r="J18" s="218">
        <f t="shared" si="1"/>
        <v>0</v>
      </c>
      <c r="K18" s="219">
        <f t="shared" si="2"/>
        <v>7592</v>
      </c>
      <c r="L18" s="220"/>
      <c r="M18" s="130"/>
      <c r="N18" s="130"/>
      <c r="O18" s="130"/>
      <c r="P18" s="226">
        <f>SUM(L18:O18)</f>
        <v>0</v>
      </c>
      <c r="Q18" s="222">
        <f>IF($I18=0,0,$G18*$J18/$I18)</f>
        <v>0</v>
      </c>
      <c r="R18" s="222"/>
      <c r="S18" s="222"/>
      <c r="T18" s="222"/>
      <c r="U18" s="222"/>
      <c r="V18" s="223"/>
    </row>
    <row r="19" spans="2:23" s="172" customFormat="1" ht="18.600000000000001" customHeight="1" outlineLevel="1" x14ac:dyDescent="0.25">
      <c r="B19" s="215" t="s">
        <v>258</v>
      </c>
      <c r="C19" s="538" t="s">
        <v>259</v>
      </c>
      <c r="D19" s="539"/>
      <c r="E19" s="539"/>
      <c r="F19" s="540"/>
      <c r="G19" s="224">
        <f>SUMIF(Enseignements!$F$7:$F$141,Paramétrage!$C$6,Enseignements!W$7:W$141)+SUMIF(Enseignements!$F$7:$F$141,Paramétrage!$C$7,Enseignements!W$7:W$141)+SUMIF(Enseignements!$F$7:$F$141,Paramétrage!$C$8,Enseignements!W$7:W$141)+SUMIF(Enseignements!$F$7:$F$141,Paramétrage!$C$10,Enseignements!W$7:W$141)+SUMIF(Enseignements!$F$7:$F$141,Paramétrage!$C$11,Enseignements!W$7:W$141)+SUMIF(Enseignements!$F$7:$F$141,Paramétrage!$C$13,Enseignements!W$7:W$141)+SUMIF(Enseignements!$F$7:$F$141,Paramétrage!$C$14,Enseignements!W$7:W$141)+SUMIF(Enseignements!$F$7:$F$141,Paramétrage!$C$16,Enseignements!W$7:W$141)+SUMIF(Enseignements!$F$7:$F$141,Paramétrage!$C$17,Enseignements!W$7:W$141)+SUMIF(Enseignements!$F$7:$F$141,Paramétrage!$C$19,Enseignements!W$7:W$141)+SUMIF(Enseignements!$F$7:$F$141,Paramétrage!$C$20,Enseignements!W$7:W$141)+SUMIF(Enseignements!$F$7:$F$141,Paramétrage!$C$23,Enseignements!W$7:W$141)+SUMIF(Enseignements!$F$7:$F$141,Paramétrage!$C$24,Enseignements!W$7:W$141)+SUMIF(Enseignements!$F$7:$F$141,Paramétrage!$C$26,Enseignements!W$7:W$141)+SUMIF(Enseignements!$F$7:$F$141,Paramétrage!$C$27,Enseignements!W$7:W$141)</f>
        <v>0</v>
      </c>
      <c r="H19" s="227"/>
      <c r="I19" s="225">
        <f t="shared" ref="I19" si="3">H19*G19</f>
        <v>0</v>
      </c>
      <c r="J19" s="218">
        <f t="shared" si="1"/>
        <v>0</v>
      </c>
      <c r="K19" s="219">
        <f t="shared" si="2"/>
        <v>0</v>
      </c>
      <c r="L19" s="220"/>
      <c r="M19" s="220"/>
      <c r="N19" s="228"/>
      <c r="O19" s="130"/>
      <c r="P19" s="226">
        <f>SUM(L19:O19)</f>
        <v>0</v>
      </c>
      <c r="Q19" s="222">
        <f>IF($I19=0,0,$G19*$J19/$I19)</f>
        <v>0</v>
      </c>
      <c r="R19" s="222"/>
      <c r="S19" s="222"/>
      <c r="T19" s="222"/>
      <c r="U19" s="222"/>
      <c r="V19" s="223"/>
    </row>
    <row r="20" spans="2:23" s="172" customFormat="1" ht="22.2" customHeight="1" outlineLevel="1" thickBot="1" x14ac:dyDescent="0.3">
      <c r="B20" s="544" t="s">
        <v>260</v>
      </c>
      <c r="C20" s="545"/>
      <c r="D20" s="545"/>
      <c r="E20" s="545"/>
      <c r="F20" s="546"/>
      <c r="G20" s="229">
        <f>SUM(G16:G19)</f>
        <v>440</v>
      </c>
      <c r="H20" s="230">
        <f>IF(G20=0,0,I20/G20)</f>
        <v>161.92727272727274</v>
      </c>
      <c r="I20" s="231">
        <f>SUM(I16:I19)</f>
        <v>71248</v>
      </c>
      <c r="J20" s="232">
        <f>SUM(J16:J19)</f>
        <v>0</v>
      </c>
      <c r="K20" s="233">
        <f>SUM(K16:K19)</f>
        <v>71248</v>
      </c>
      <c r="L20" s="234">
        <f>SUM(L16:L19)</f>
        <v>0</v>
      </c>
      <c r="M20" s="231">
        <f>SUM(M16:M19)</f>
        <v>0</v>
      </c>
      <c r="N20" s="231">
        <f t="shared" ref="N20:P20" si="4">SUM(N16:N19)</f>
        <v>0</v>
      </c>
      <c r="O20" s="231">
        <f t="shared" si="4"/>
        <v>0</v>
      </c>
      <c r="P20" s="233">
        <f t="shared" si="4"/>
        <v>0</v>
      </c>
      <c r="Q20" s="203">
        <f>IF($K$72=0,0,K20/$K$72)</f>
        <v>0.59373333333333334</v>
      </c>
      <c r="R20" s="204" t="s">
        <v>251</v>
      </c>
      <c r="S20" s="124"/>
      <c r="T20" s="120"/>
      <c r="U20" s="120"/>
      <c r="V20" s="124"/>
    </row>
    <row r="21" spans="2:23" s="124" customFormat="1" ht="16.95" customHeight="1" outlineLevel="1" x14ac:dyDescent="0.25">
      <c r="B21" s="205" t="s">
        <v>5</v>
      </c>
      <c r="C21" s="206" t="s">
        <v>6</v>
      </c>
      <c r="D21" s="207"/>
      <c r="E21" s="207"/>
      <c r="F21" s="208"/>
      <c r="G21" s="209"/>
      <c r="H21" s="210"/>
      <c r="I21" s="209"/>
      <c r="J21" s="209"/>
      <c r="K21" s="211"/>
      <c r="L21" s="212"/>
      <c r="M21" s="210"/>
      <c r="N21" s="210"/>
      <c r="O21" s="210"/>
      <c r="P21" s="211"/>
      <c r="Q21" s="235"/>
      <c r="R21" s="120"/>
      <c r="S21" s="120"/>
      <c r="T21" s="120"/>
      <c r="U21" s="172"/>
      <c r="V21" s="172"/>
    </row>
    <row r="22" spans="2:23" s="172" customFormat="1" ht="16.95" customHeight="1" outlineLevel="1" x14ac:dyDescent="0.25">
      <c r="B22" s="215" t="s">
        <v>7</v>
      </c>
      <c r="C22" s="236" t="s">
        <v>261</v>
      </c>
      <c r="D22" s="237"/>
      <c r="E22" s="237"/>
      <c r="F22" s="238"/>
      <c r="G22" s="216">
        <f>SUMIF(Enseignements!$F$7:$F$141,Paramétrage!$C$15,Enseignements!X$7:X$141)</f>
        <v>0</v>
      </c>
      <c r="H22" s="217">
        <f>IF(G22=0,0,(SUMIF(Enseignements!$F$7:$F$141,Paramétrage!$C$15,Enseignements!T$7:T$141)*$H$16+SUMIF(Enseignements!$F$7:$F$141,Paramétrage!$C$15,Enseignements!U$7:U$141)*$H$17+SUMIF(Enseignements!$F$7:$F$141,Paramétrage!$C$15,Enseignements!V$7:V$141)*$H$18+SUMIF(Enseignements!$F$7:$F$141,Paramétrage!$C$15,Enseignements!W$7:W$141)*$H$19)/G22)</f>
        <v>0</v>
      </c>
      <c r="I22" s="218">
        <f>H22*G22</f>
        <v>0</v>
      </c>
      <c r="J22" s="225">
        <f>I22-K22</f>
        <v>0</v>
      </c>
      <c r="K22" s="219">
        <f t="shared" ref="K22" si="5">IF($E$7=0,0,I22/$E$7*$E$8)</f>
        <v>0</v>
      </c>
      <c r="L22" s="220"/>
      <c r="M22" s="228"/>
      <c r="N22" s="228"/>
      <c r="O22" s="130"/>
      <c r="P22" s="221">
        <f>SUM(L22:O22)</f>
        <v>0</v>
      </c>
      <c r="Q22" s="222">
        <f>IF($I22=0,0,$G22*$J22/$I22)</f>
        <v>0</v>
      </c>
      <c r="R22" s="222"/>
      <c r="S22" s="222"/>
      <c r="T22" s="222"/>
      <c r="U22" s="222"/>
      <c r="V22" s="222"/>
      <c r="W22" s="140"/>
    </row>
    <row r="23" spans="2:23" s="172" customFormat="1" ht="16.95" customHeight="1" outlineLevel="1" x14ac:dyDescent="0.25">
      <c r="B23" s="215" t="s">
        <v>12</v>
      </c>
      <c r="C23" s="538" t="s">
        <v>13</v>
      </c>
      <c r="D23" s="539"/>
      <c r="E23" s="539"/>
      <c r="F23" s="540"/>
      <c r="G23" s="216">
        <v>30</v>
      </c>
      <c r="H23" s="217">
        <v>220</v>
      </c>
      <c r="I23" s="218">
        <f>H23*G23</f>
        <v>6600</v>
      </c>
      <c r="J23" s="218">
        <f>I23-K23</f>
        <v>0</v>
      </c>
      <c r="K23" s="219">
        <f>IF($E$7=0,0,I23/$E$7*$E$8)</f>
        <v>6600</v>
      </c>
      <c r="L23" s="130"/>
      <c r="M23" s="130"/>
      <c r="N23" s="130"/>
      <c r="O23" s="130"/>
      <c r="P23" s="226">
        <f>SUM(L23:O23)</f>
        <v>0</v>
      </c>
      <c r="Q23" s="222">
        <f>IF($I23=0,0,$G23*$J23/$I23)</f>
        <v>0</v>
      </c>
      <c r="R23" s="222"/>
      <c r="S23" s="222"/>
      <c r="T23" s="222"/>
      <c r="U23" s="222"/>
      <c r="V23" s="222"/>
      <c r="W23" s="140"/>
    </row>
    <row r="24" spans="2:23" s="172" customFormat="1" ht="16.95" customHeight="1" outlineLevel="1" x14ac:dyDescent="0.25">
      <c r="B24" s="215" t="s">
        <v>16</v>
      </c>
      <c r="C24" s="538" t="s">
        <v>262</v>
      </c>
      <c r="D24" s="539"/>
      <c r="E24" s="539"/>
      <c r="F24" s="540"/>
      <c r="G24" s="216">
        <v>45</v>
      </c>
      <c r="H24" s="217">
        <v>18.850000000000001</v>
      </c>
      <c r="I24" s="218">
        <f>H24*G24</f>
        <v>848.25000000000011</v>
      </c>
      <c r="J24" s="225">
        <f>I24</f>
        <v>848.25000000000011</v>
      </c>
      <c r="K24" s="219">
        <v>0</v>
      </c>
      <c r="L24" s="220"/>
      <c r="M24" s="130"/>
      <c r="N24" s="130"/>
      <c r="O24" s="130"/>
      <c r="P24" s="226">
        <f>SUM(L24:O24)</f>
        <v>0</v>
      </c>
      <c r="Q24" s="222">
        <f>IF($I24=0,0,$G24*$J24/$I24)</f>
        <v>45</v>
      </c>
      <c r="R24" s="222"/>
      <c r="S24" s="222"/>
      <c r="T24" s="222"/>
      <c r="U24" s="222"/>
      <c r="V24" s="222"/>
      <c r="W24" s="140"/>
    </row>
    <row r="25" spans="2:23" s="172" customFormat="1" ht="16.95" customHeight="1" outlineLevel="1" x14ac:dyDescent="0.25">
      <c r="B25" s="215" t="s">
        <v>19</v>
      </c>
      <c r="C25" s="538" t="s">
        <v>20</v>
      </c>
      <c r="D25" s="539"/>
      <c r="E25" s="539"/>
      <c r="F25" s="540"/>
      <c r="G25" s="216">
        <f>SUMIF(Enseignements!$F$7:$F$141,Paramétrage!$C$12,Enseignements!X$7:X$141)</f>
        <v>0</v>
      </c>
      <c r="H25" s="217">
        <f>IF(G25=0,0,(SUMIF(Enseignements!$F$7:$F$141,Paramétrage!$C$12,Enseignements!T$7:T$141)*$H$16+SUMIF(Enseignements!$F$7:$F$141,Paramétrage!$C$12,Enseignements!U$7:U$141)*$H$17+SUMIF(Enseignements!$F$7:$F$141,Paramétrage!$C$12,Enseignements!V$7:V$141)*$H$18+SUMIF(Enseignements!$F$7:$F$141,Paramétrage!$C$12,Enseignements!W$7:W$141)*$H$19)/G25)</f>
        <v>0</v>
      </c>
      <c r="I25" s="218">
        <f>H25*G25</f>
        <v>0</v>
      </c>
      <c r="J25" s="218">
        <f>I25-K25</f>
        <v>0</v>
      </c>
      <c r="K25" s="219">
        <f>I25</f>
        <v>0</v>
      </c>
      <c r="L25" s="220"/>
      <c r="M25" s="228"/>
      <c r="N25" s="228"/>
      <c r="O25" s="130"/>
      <c r="P25" s="226">
        <f>SUM(L25:O25)</f>
        <v>0</v>
      </c>
      <c r="Q25" s="222">
        <f>IF($I25=0,0,$G25*$J25/$I25)</f>
        <v>0</v>
      </c>
      <c r="R25" s="222"/>
      <c r="S25" s="222"/>
      <c r="T25" s="222"/>
      <c r="U25" s="222"/>
      <c r="V25" s="222"/>
      <c r="W25" s="140"/>
    </row>
    <row r="26" spans="2:23" s="172" customFormat="1" ht="16.95" customHeight="1" outlineLevel="1" x14ac:dyDescent="0.25">
      <c r="B26" s="215" t="s">
        <v>22</v>
      </c>
      <c r="C26" s="538" t="s">
        <v>263</v>
      </c>
      <c r="D26" s="539"/>
      <c r="E26" s="539"/>
      <c r="F26" s="540"/>
      <c r="G26" s="216">
        <f>SUMIF(Enseignements!$F$7:$F$141,Paramétrage!$C$22,Enseignements!X$7:X$141)+SUMIF(Enseignements!$F$7:$F$141,Paramétrage!$C$25,Enseignements!X$7:X$141)</f>
        <v>0</v>
      </c>
      <c r="H26" s="217">
        <f>IF(G26=0,0,(SUMIF(Enseignements!$F$7:$F$141,Paramétrage!$C$22,Enseignements!T$7:T$141)*$H$16+SUMIF(Enseignements!$F$7:$F$141,Paramétrage!$C$22,Enseignements!U$7:U$141)*$H$17+SUMIF(Enseignements!$F$7:$F$141,Paramétrage!$C$22,Enseignements!V$7:V$141)*$H$18+SUMIF(Enseignements!$F$7:$F$141,Paramétrage!$C$22,Enseignements!W$7:W$141)*$H$19)/G26)+IF(G26=0,0,(SUMIF(Enseignements!$F$7:$F$141,Paramétrage!$C$25,Enseignements!T$7:T$141)*$H$16+SUMIF(Enseignements!$F$7:$F$141,Paramétrage!$C$25,Enseignements!U$7:U$141)*$H$17+SUMIF(Enseignements!$F$7:$F$141,Paramétrage!$C$25,Enseignements!V$7:V$141)*$H$18+SUMIF(Enseignements!$F$7:$F$141,Paramétrage!$C$25,Enseignements!W$7:W$141)*$H$19)/G26)</f>
        <v>0</v>
      </c>
      <c r="I26" s="218">
        <f>H26*G26</f>
        <v>0</v>
      </c>
      <c r="J26" s="218">
        <f>I26-K26</f>
        <v>0</v>
      </c>
      <c r="K26" s="219">
        <f t="shared" ref="K26" si="6">IF($E$7=0,0,I26/$E$7*$E$8)</f>
        <v>0</v>
      </c>
      <c r="L26" s="130"/>
      <c r="M26" s="130"/>
      <c r="N26" s="130"/>
      <c r="O26" s="130"/>
      <c r="P26" s="226">
        <f>SUM(L26:O26)</f>
        <v>0</v>
      </c>
      <c r="Q26" s="222">
        <f>IF($I26=0,0,$G26*$J26/$I26)</f>
        <v>0</v>
      </c>
      <c r="R26" s="222"/>
      <c r="S26" s="222"/>
      <c r="T26" s="222"/>
      <c r="U26" s="222"/>
      <c r="V26" s="222"/>
      <c r="W26" s="140"/>
    </row>
    <row r="27" spans="2:23" s="172" customFormat="1" ht="21.6" customHeight="1" outlineLevel="1" thickBot="1" x14ac:dyDescent="0.3">
      <c r="B27" s="544" t="s">
        <v>264</v>
      </c>
      <c r="C27" s="545"/>
      <c r="D27" s="545"/>
      <c r="E27" s="545"/>
      <c r="F27" s="546"/>
      <c r="G27" s="229">
        <f>SUM(G22:G26)</f>
        <v>75</v>
      </c>
      <c r="H27" s="230">
        <f>IF(G27=0,0,I27/G27)</f>
        <v>99.31</v>
      </c>
      <c r="I27" s="230">
        <f>SUM(I22:I26)</f>
        <v>7448.25</v>
      </c>
      <c r="J27" s="230">
        <f t="shared" ref="J27:K27" si="7">SUM(J22:J26)</f>
        <v>848.25000000000011</v>
      </c>
      <c r="K27" s="230">
        <f t="shared" si="7"/>
        <v>6600</v>
      </c>
      <c r="L27" s="239">
        <f>SUM(L22:L26)</f>
        <v>0</v>
      </c>
      <c r="M27" s="240">
        <f>SUM(M22:M26)</f>
        <v>0</v>
      </c>
      <c r="N27" s="241">
        <f t="shared" ref="N27:O27" si="8">SUM(N22:N26)</f>
        <v>0</v>
      </c>
      <c r="O27" s="231">
        <f t="shared" si="8"/>
        <v>0</v>
      </c>
      <c r="P27" s="233">
        <f t="shared" ref="P27" si="9">SUM(P22:P25)</f>
        <v>0</v>
      </c>
      <c r="Q27" s="203">
        <f>IF($K$72=0,0,K27/$K$72)</f>
        <v>5.5E-2</v>
      </c>
      <c r="R27" s="204" t="s">
        <v>251</v>
      </c>
      <c r="S27" s="124"/>
      <c r="T27" s="171"/>
    </row>
    <row r="28" spans="2:23" s="172" customFormat="1" ht="16.95" customHeight="1" outlineLevel="1" x14ac:dyDescent="0.25">
      <c r="B28" s="242" t="s">
        <v>25</v>
      </c>
      <c r="C28" s="243" t="s">
        <v>26</v>
      </c>
      <c r="D28" s="170"/>
      <c r="E28" s="170"/>
      <c r="F28" s="244"/>
      <c r="G28" s="245"/>
      <c r="H28" s="246"/>
      <c r="I28" s="245"/>
      <c r="J28" s="245"/>
      <c r="K28" s="247"/>
      <c r="L28" s="248"/>
      <c r="M28" s="249"/>
      <c r="N28" s="249"/>
      <c r="O28" s="249"/>
      <c r="P28" s="250"/>
      <c r="Q28" s="213"/>
      <c r="R28" s="251">
        <f t="shared" ref="R28:U28" si="10">IF($I28=0,0,IF($P28=0,0,$G28*$J28/$I28*L28/$P28))</f>
        <v>0</v>
      </c>
      <c r="S28" s="251">
        <f t="shared" si="10"/>
        <v>0</v>
      </c>
      <c r="T28" s="251">
        <f t="shared" si="10"/>
        <v>0</v>
      </c>
      <c r="U28" s="252">
        <f t="shared" si="10"/>
        <v>0</v>
      </c>
      <c r="V28" s="253"/>
    </row>
    <row r="29" spans="2:23" s="172" customFormat="1" ht="16.95" customHeight="1" outlineLevel="1" x14ac:dyDescent="0.25">
      <c r="B29" s="215" t="s">
        <v>27</v>
      </c>
      <c r="C29" s="538" t="s">
        <v>265</v>
      </c>
      <c r="D29" s="539"/>
      <c r="E29" s="539"/>
      <c r="F29" s="540"/>
      <c r="G29" s="130">
        <v>24</v>
      </c>
      <c r="H29" s="217">
        <f>+H16</f>
        <v>220</v>
      </c>
      <c r="I29" s="254">
        <f>H29*G29</f>
        <v>5280</v>
      </c>
      <c r="J29" s="218">
        <f t="shared" ref="J29:J31" si="11">I29-K29</f>
        <v>0</v>
      </c>
      <c r="K29" s="219">
        <f t="shared" ref="K29:K31" si="12">IF($E$7=0,0,I29/$E$7*$E$8)</f>
        <v>5280</v>
      </c>
      <c r="L29" s="255"/>
      <c r="M29" s="130"/>
      <c r="N29" s="130"/>
      <c r="O29" s="130"/>
      <c r="P29" s="226">
        <f>SUM(L29:O29)</f>
        <v>0</v>
      </c>
      <c r="Q29" s="222">
        <f>IF($I29=0,0,$G29*$J29/$I29)</f>
        <v>0</v>
      </c>
      <c r="R29" s="222"/>
      <c r="S29" s="222"/>
      <c r="T29" s="222"/>
      <c r="U29" s="222"/>
      <c r="V29" s="223"/>
      <c r="W29" s="256"/>
    </row>
    <row r="30" spans="2:23" s="172" customFormat="1" ht="16.95" customHeight="1" outlineLevel="1" x14ac:dyDescent="0.25">
      <c r="B30" s="215" t="s">
        <v>32</v>
      </c>
      <c r="C30" s="538" t="s">
        <v>33</v>
      </c>
      <c r="D30" s="539"/>
      <c r="E30" s="539"/>
      <c r="F30" s="540"/>
      <c r="G30" s="130">
        <v>12</v>
      </c>
      <c r="H30" s="217">
        <v>220</v>
      </c>
      <c r="I30" s="254">
        <f>H30*G30</f>
        <v>2640</v>
      </c>
      <c r="J30" s="218">
        <f t="shared" si="11"/>
        <v>0</v>
      </c>
      <c r="K30" s="219">
        <f>I30</f>
        <v>2640</v>
      </c>
      <c r="L30" s="255"/>
      <c r="M30" s="220"/>
      <c r="N30" s="130"/>
      <c r="O30" s="130"/>
      <c r="P30" s="226">
        <f>SUM(L30:O30)</f>
        <v>0</v>
      </c>
      <c r="Q30" s="222">
        <f t="shared" ref="Q30:Q31" si="13">IF($I30=0,0,$G30*$J30/$I30)</f>
        <v>0</v>
      </c>
      <c r="R30" s="222"/>
      <c r="S30" s="222"/>
      <c r="T30" s="222"/>
      <c r="U30" s="222"/>
      <c r="V30" s="223"/>
      <c r="W30" s="256"/>
    </row>
    <row r="31" spans="2:23" s="172" customFormat="1" ht="16.95" customHeight="1" outlineLevel="1" x14ac:dyDescent="0.25">
      <c r="B31" s="215" t="s">
        <v>35</v>
      </c>
      <c r="C31" s="257" t="s">
        <v>36</v>
      </c>
      <c r="D31" s="237"/>
      <c r="E31" s="237"/>
      <c r="F31" s="238"/>
      <c r="G31" s="258"/>
      <c r="H31" s="217">
        <f>$H$20</f>
        <v>161.92727272727274</v>
      </c>
      <c r="I31" s="259">
        <f>H31*G31</f>
        <v>0</v>
      </c>
      <c r="J31" s="218">
        <f t="shared" si="11"/>
        <v>0</v>
      </c>
      <c r="K31" s="219">
        <f t="shared" si="12"/>
        <v>0</v>
      </c>
      <c r="L31" s="260"/>
      <c r="M31" s="130"/>
      <c r="N31" s="130"/>
      <c r="O31" s="130"/>
      <c r="P31" s="226">
        <f>SUM(L31:O31)</f>
        <v>0</v>
      </c>
      <c r="Q31" s="222">
        <f t="shared" si="13"/>
        <v>0</v>
      </c>
      <c r="R31" s="222"/>
      <c r="S31" s="222"/>
      <c r="T31" s="222"/>
      <c r="U31" s="222"/>
      <c r="V31" s="223"/>
      <c r="W31" s="256"/>
    </row>
    <row r="32" spans="2:23" s="172" customFormat="1" ht="21" customHeight="1" outlineLevel="1" thickBot="1" x14ac:dyDescent="0.3">
      <c r="B32" s="547" t="s">
        <v>266</v>
      </c>
      <c r="C32" s="548"/>
      <c r="D32" s="548"/>
      <c r="E32" s="548"/>
      <c r="F32" s="549"/>
      <c r="G32" s="261">
        <f>SUM(G29:G31)</f>
        <v>36</v>
      </c>
      <c r="H32" s="262">
        <f>IF(G32=0,0,I32/G32)</f>
        <v>220</v>
      </c>
      <c r="I32" s="262">
        <f>SUM(I29:I31)</f>
        <v>7920</v>
      </c>
      <c r="J32" s="262">
        <f>SUM(J29:J31)</f>
        <v>0</v>
      </c>
      <c r="K32" s="263">
        <f>SUM(K29:K31)</f>
        <v>7920</v>
      </c>
      <c r="L32" s="234">
        <f t="shared" ref="L32:M32" si="14">SUM(L29:L31)</f>
        <v>0</v>
      </c>
      <c r="M32" s="231">
        <f t="shared" si="14"/>
        <v>0</v>
      </c>
      <c r="N32" s="231">
        <f>SUM(N29:N31)</f>
        <v>0</v>
      </c>
      <c r="O32" s="231">
        <f>SUM(O29:O31)</f>
        <v>0</v>
      </c>
      <c r="P32" s="233">
        <f t="shared" ref="P32" si="15">SUM(P28:P31)</f>
        <v>0</v>
      </c>
      <c r="Q32" s="203">
        <f>IF($K$72=0,0,K32/$K$72)</f>
        <v>6.6000000000000003E-2</v>
      </c>
      <c r="R32" s="204" t="s">
        <v>251</v>
      </c>
      <c r="S32" s="124"/>
      <c r="T32" s="171"/>
      <c r="U32" s="121"/>
    </row>
    <row r="33" spans="2:22" s="172" customFormat="1" ht="21" customHeight="1" outlineLevel="1" x14ac:dyDescent="0.25">
      <c r="B33" s="264"/>
      <c r="C33" s="265"/>
      <c r="D33" s="266"/>
      <c r="E33" s="267"/>
      <c r="F33" s="267"/>
      <c r="G33" s="267"/>
      <c r="H33" s="268" t="s">
        <v>267</v>
      </c>
      <c r="I33" s="269">
        <f>+G20+G27+G32</f>
        <v>551</v>
      </c>
      <c r="J33" s="269">
        <f>SUM(Q16:Q19)+SUM(Q22:Q26)+SUM(Q29:Q31)</f>
        <v>45</v>
      </c>
      <c r="K33" s="270">
        <f>I33-J33</f>
        <v>506</v>
      </c>
      <c r="L33" s="271"/>
      <c r="M33" s="271"/>
      <c r="N33" s="271"/>
      <c r="O33" s="271"/>
      <c r="P33" s="271"/>
      <c r="Q33" s="272"/>
      <c r="R33" s="272"/>
      <c r="S33" s="273"/>
      <c r="T33" s="274"/>
      <c r="U33" s="171"/>
      <c r="V33" s="275"/>
    </row>
    <row r="34" spans="2:22" s="172" customFormat="1" ht="21" customHeight="1" outlineLevel="1" thickBot="1" x14ac:dyDescent="0.3">
      <c r="B34" s="276"/>
      <c r="C34" s="277"/>
      <c r="D34" s="278"/>
      <c r="E34" s="279"/>
      <c r="F34" s="279"/>
      <c r="G34" s="279"/>
      <c r="H34" s="280" t="s">
        <v>268</v>
      </c>
      <c r="I34" s="281">
        <f>IF($E$7=0,0,(I32+I20+I27)/$E$7)</f>
        <v>5774.416666666667</v>
      </c>
      <c r="J34" s="282">
        <f>IF($E$7-$E$8=0,0,(J32+J20+J27)/($E$7-$E$8))</f>
        <v>0</v>
      </c>
      <c r="K34" s="283">
        <f>IF($E$8=0,0,(K32+K20+K27)/$E$8)</f>
        <v>5717.8666666666668</v>
      </c>
      <c r="L34" s="271"/>
      <c r="M34" s="271"/>
      <c r="N34" s="271"/>
      <c r="O34" s="271"/>
      <c r="P34" s="271"/>
      <c r="Q34" s="272"/>
      <c r="R34" s="272"/>
      <c r="S34" s="273"/>
      <c r="T34" s="274"/>
      <c r="U34" s="171"/>
      <c r="V34" s="275"/>
    </row>
    <row r="35" spans="2:22" s="124" customFormat="1" ht="22.2" customHeight="1" thickBot="1" x14ac:dyDescent="0.3">
      <c r="B35" s="284" t="s">
        <v>269</v>
      </c>
      <c r="C35" s="285"/>
      <c r="D35" s="286"/>
      <c r="E35" s="286"/>
      <c r="F35" s="286"/>
      <c r="G35" s="286"/>
      <c r="H35" s="287"/>
      <c r="I35" s="288">
        <f t="shared" ref="I35:P35" si="16">SUM(I36:I44)</f>
        <v>0</v>
      </c>
      <c r="J35" s="289">
        <f t="shared" si="16"/>
        <v>0</v>
      </c>
      <c r="K35" s="290">
        <f t="shared" si="16"/>
        <v>0</v>
      </c>
      <c r="L35" s="202">
        <f t="shared" si="16"/>
        <v>0</v>
      </c>
      <c r="M35" s="198">
        <f t="shared" si="16"/>
        <v>0</v>
      </c>
      <c r="N35" s="199">
        <f t="shared" si="16"/>
        <v>0</v>
      </c>
      <c r="O35" s="198">
        <f t="shared" si="16"/>
        <v>0</v>
      </c>
      <c r="P35" s="291">
        <f t="shared" si="16"/>
        <v>0</v>
      </c>
      <c r="Q35" s="203">
        <f>IF($K$72=0,0,K35/$K$72)</f>
        <v>0</v>
      </c>
      <c r="R35" s="204" t="s">
        <v>251</v>
      </c>
      <c r="U35" s="172"/>
      <c r="V35" s="172"/>
    </row>
    <row r="36" spans="2:22" s="172" customFormat="1" ht="16.95" customHeight="1" outlineLevel="1" x14ac:dyDescent="0.25">
      <c r="B36" s="292" t="s">
        <v>270</v>
      </c>
      <c r="C36" s="293" t="s">
        <v>271</v>
      </c>
      <c r="D36" s="294"/>
      <c r="E36" s="294"/>
      <c r="F36" s="294"/>
      <c r="G36" s="294"/>
      <c r="H36" s="294"/>
      <c r="I36" s="295"/>
      <c r="J36" s="296">
        <f>I36-K36</f>
        <v>0</v>
      </c>
      <c r="K36" s="297">
        <f>IF($E$7=0,0,I36/$E$7*$E$8)</f>
        <v>0</v>
      </c>
      <c r="L36" s="298"/>
      <c r="M36" s="299"/>
      <c r="N36" s="300"/>
      <c r="O36" s="299"/>
      <c r="P36" s="301">
        <f>SUM(L36:O36)</f>
        <v>0</v>
      </c>
      <c r="Q36" s="302"/>
      <c r="R36" s="303"/>
      <c r="S36" s="124"/>
    </row>
    <row r="37" spans="2:22" s="172" customFormat="1" ht="16.95" customHeight="1" outlineLevel="1" x14ac:dyDescent="0.25">
      <c r="B37" s="149" t="s">
        <v>272</v>
      </c>
      <c r="C37" s="304" t="s">
        <v>273</v>
      </c>
      <c r="D37" s="305"/>
      <c r="E37" s="305"/>
      <c r="F37" s="305"/>
      <c r="G37" s="305"/>
      <c r="H37" s="305"/>
      <c r="I37" s="306"/>
      <c r="J37" s="217">
        <f>I37-K37</f>
        <v>0</v>
      </c>
      <c r="K37" s="307">
        <f t="shared" ref="K37:K44" si="17">IF($E$7=0,0,I37/$E$7*$E$8)</f>
        <v>0</v>
      </c>
      <c r="L37" s="255"/>
      <c r="M37" s="220"/>
      <c r="N37" s="308"/>
      <c r="O37" s="220"/>
      <c r="P37" s="226">
        <f>SUM(L37:O37)</f>
        <v>0</v>
      </c>
      <c r="Q37" s="302"/>
      <c r="R37" s="303"/>
      <c r="S37" s="124"/>
    </row>
    <row r="38" spans="2:22" s="172" customFormat="1" ht="16.95" customHeight="1" outlineLevel="1" x14ac:dyDescent="0.25">
      <c r="B38" s="149" t="s">
        <v>274</v>
      </c>
      <c r="C38" s="304" t="s">
        <v>275</v>
      </c>
      <c r="D38" s="305"/>
      <c r="E38" s="305"/>
      <c r="F38" s="305"/>
      <c r="G38" s="305"/>
      <c r="H38" s="305"/>
      <c r="I38" s="306"/>
      <c r="J38" s="217">
        <f>I38-K38</f>
        <v>0</v>
      </c>
      <c r="K38" s="307">
        <f t="shared" si="17"/>
        <v>0</v>
      </c>
      <c r="L38" s="255"/>
      <c r="M38" s="220"/>
      <c r="N38" s="308"/>
      <c r="O38" s="220"/>
      <c r="P38" s="226">
        <f t="shared" ref="P38:P44" si="18">SUM(L38:O38)</f>
        <v>0</v>
      </c>
      <c r="Q38" s="302"/>
      <c r="R38" s="303"/>
      <c r="S38" s="124"/>
    </row>
    <row r="39" spans="2:22" s="172" customFormat="1" ht="16.95" customHeight="1" outlineLevel="1" x14ac:dyDescent="0.25">
      <c r="B39" s="149" t="s">
        <v>276</v>
      </c>
      <c r="C39" s="304" t="s">
        <v>277</v>
      </c>
      <c r="D39" s="305"/>
      <c r="E39" s="305"/>
      <c r="F39" s="305"/>
      <c r="G39" s="305"/>
      <c r="H39" s="305"/>
      <c r="I39" s="306"/>
      <c r="J39" s="217">
        <f>I39-K39</f>
        <v>0</v>
      </c>
      <c r="K39" s="307">
        <f t="shared" si="17"/>
        <v>0</v>
      </c>
      <c r="L39" s="255"/>
      <c r="M39" s="220"/>
      <c r="N39" s="308"/>
      <c r="O39" s="220"/>
      <c r="P39" s="226">
        <f t="shared" si="18"/>
        <v>0</v>
      </c>
      <c r="Q39" s="302"/>
      <c r="R39" s="303"/>
      <c r="S39" s="124"/>
    </row>
    <row r="40" spans="2:22" s="172" customFormat="1" ht="16.95" customHeight="1" outlineLevel="1" x14ac:dyDescent="0.25">
      <c r="B40" s="149" t="s">
        <v>278</v>
      </c>
      <c r="C40" s="304" t="s">
        <v>279</v>
      </c>
      <c r="D40" s="305"/>
      <c r="E40" s="305"/>
      <c r="F40" s="305"/>
      <c r="G40" s="305"/>
      <c r="H40" s="305"/>
      <c r="I40" s="306"/>
      <c r="J40" s="217">
        <f>I40-K40</f>
        <v>0</v>
      </c>
      <c r="K40" s="307">
        <f t="shared" si="17"/>
        <v>0</v>
      </c>
      <c r="L40" s="255"/>
      <c r="M40" s="220"/>
      <c r="N40" s="308"/>
      <c r="O40" s="220"/>
      <c r="P40" s="226">
        <f>SUM(L40:O40)</f>
        <v>0</v>
      </c>
      <c r="Q40" s="302"/>
      <c r="R40" s="303"/>
      <c r="S40" s="124"/>
    </row>
    <row r="41" spans="2:22" s="172" customFormat="1" ht="16.95" customHeight="1" outlineLevel="1" x14ac:dyDescent="0.25">
      <c r="B41" s="149" t="s">
        <v>280</v>
      </c>
      <c r="C41" s="304" t="s">
        <v>281</v>
      </c>
      <c r="D41" s="305"/>
      <c r="E41" s="305"/>
      <c r="F41" s="305"/>
      <c r="G41" s="305"/>
      <c r="H41" s="305"/>
      <c r="I41" s="306"/>
      <c r="J41" s="217">
        <f t="shared" ref="J41:J44" si="19">I41-K41</f>
        <v>0</v>
      </c>
      <c r="K41" s="307">
        <v>0</v>
      </c>
      <c r="L41" s="255"/>
      <c r="M41" s="220"/>
      <c r="N41" s="308"/>
      <c r="O41" s="220"/>
      <c r="P41" s="226">
        <f>SUM(L41:O41)</f>
        <v>0</v>
      </c>
      <c r="Q41" s="302"/>
      <c r="R41" s="303"/>
      <c r="S41" s="124"/>
    </row>
    <row r="42" spans="2:22" s="172" customFormat="1" ht="16.95" customHeight="1" outlineLevel="1" x14ac:dyDescent="0.25">
      <c r="B42" s="149" t="s">
        <v>282</v>
      </c>
      <c r="C42" s="304" t="s">
        <v>283</v>
      </c>
      <c r="D42" s="305"/>
      <c r="E42" s="305"/>
      <c r="F42" s="305"/>
      <c r="G42" s="305"/>
      <c r="H42" s="305"/>
      <c r="I42" s="306"/>
      <c r="J42" s="217">
        <f t="shared" si="19"/>
        <v>0</v>
      </c>
      <c r="K42" s="307">
        <f>I42</f>
        <v>0</v>
      </c>
      <c r="L42" s="255"/>
      <c r="M42" s="220"/>
      <c r="N42" s="308"/>
      <c r="O42" s="220"/>
      <c r="P42" s="226">
        <f t="shared" si="18"/>
        <v>0</v>
      </c>
      <c r="Q42" s="302"/>
      <c r="R42" s="303"/>
      <c r="S42" s="124"/>
    </row>
    <row r="43" spans="2:22" s="172" customFormat="1" ht="16.95" customHeight="1" outlineLevel="1" x14ac:dyDescent="0.25">
      <c r="B43" s="149" t="s">
        <v>284</v>
      </c>
      <c r="C43" s="304" t="s">
        <v>285</v>
      </c>
      <c r="D43" s="305"/>
      <c r="E43" s="305"/>
      <c r="F43" s="305"/>
      <c r="G43" s="305"/>
      <c r="H43" s="305"/>
      <c r="I43" s="306"/>
      <c r="J43" s="217">
        <f t="shared" si="19"/>
        <v>0</v>
      </c>
      <c r="K43" s="307">
        <f t="shared" si="17"/>
        <v>0</v>
      </c>
      <c r="L43" s="255"/>
      <c r="M43" s="220"/>
      <c r="N43" s="308"/>
      <c r="O43" s="220"/>
      <c r="P43" s="226">
        <f t="shared" si="18"/>
        <v>0</v>
      </c>
      <c r="Q43" s="302"/>
      <c r="R43" s="303"/>
      <c r="S43" s="124"/>
    </row>
    <row r="44" spans="2:22" s="172" customFormat="1" ht="16.95" customHeight="1" outlineLevel="1" thickBot="1" x14ac:dyDescent="0.3">
      <c r="B44" s="309" t="s">
        <v>286</v>
      </c>
      <c r="C44" s="310" t="s">
        <v>287</v>
      </c>
      <c r="D44" s="311"/>
      <c r="E44" s="311"/>
      <c r="F44" s="311"/>
      <c r="G44" s="311"/>
      <c r="H44" s="312"/>
      <c r="I44" s="313"/>
      <c r="J44" s="314">
        <f t="shared" si="19"/>
        <v>0</v>
      </c>
      <c r="K44" s="315">
        <f t="shared" si="17"/>
        <v>0</v>
      </c>
      <c r="L44" s="316"/>
      <c r="M44" s="317"/>
      <c r="N44" s="318"/>
      <c r="O44" s="317"/>
      <c r="P44" s="319">
        <f t="shared" si="18"/>
        <v>0</v>
      </c>
      <c r="Q44" s="302"/>
      <c r="R44" s="303"/>
      <c r="S44" s="124"/>
    </row>
    <row r="45" spans="2:22" s="172" customFormat="1" ht="24.6" customHeight="1" outlineLevel="1" thickBot="1" x14ac:dyDescent="0.3">
      <c r="B45" s="320"/>
      <c r="C45" s="321"/>
      <c r="E45" s="322"/>
      <c r="F45" s="322"/>
      <c r="G45" s="322"/>
      <c r="H45" s="125" t="s">
        <v>288</v>
      </c>
      <c r="I45" s="323">
        <f>IF(E7=0,0,I35/$E$7)</f>
        <v>0</v>
      </c>
      <c r="J45" s="323">
        <f>IF(E7-E8=0,0,J35/($E$7-$E$8))</f>
        <v>0</v>
      </c>
      <c r="K45" s="283">
        <f>IF($E$8=0,0,K35/$E$8)</f>
        <v>0</v>
      </c>
      <c r="L45" s="271"/>
      <c r="M45" s="271"/>
      <c r="N45" s="271"/>
      <c r="O45" s="271"/>
      <c r="P45" s="271"/>
      <c r="Q45" s="302"/>
      <c r="R45" s="303"/>
      <c r="S45" s="124"/>
      <c r="U45" s="124"/>
      <c r="V45" s="124"/>
    </row>
    <row r="46" spans="2:22" s="124" customFormat="1" ht="21.6" customHeight="1" thickBot="1" x14ac:dyDescent="0.3">
      <c r="B46" s="194" t="s">
        <v>289</v>
      </c>
      <c r="C46" s="195"/>
      <c r="D46" s="196"/>
      <c r="E46" s="196"/>
      <c r="F46" s="196"/>
      <c r="G46" s="196"/>
      <c r="H46" s="324"/>
      <c r="I46" s="325">
        <f t="shared" ref="I46:P46" si="20">I35+I32+I20+I27</f>
        <v>86616.25</v>
      </c>
      <c r="J46" s="325">
        <f t="shared" si="20"/>
        <v>848.25000000000011</v>
      </c>
      <c r="K46" s="326">
        <f t="shared" si="20"/>
        <v>85768</v>
      </c>
      <c r="L46" s="325">
        <f t="shared" si="20"/>
        <v>0</v>
      </c>
      <c r="M46" s="325">
        <f t="shared" si="20"/>
        <v>0</v>
      </c>
      <c r="N46" s="325">
        <f t="shared" si="20"/>
        <v>0</v>
      </c>
      <c r="O46" s="325">
        <f t="shared" si="20"/>
        <v>0</v>
      </c>
      <c r="P46" s="327">
        <f t="shared" si="20"/>
        <v>0</v>
      </c>
      <c r="Q46" s="328">
        <f>IF($K$72=0,0,K46/$K$72)</f>
        <v>0.71473333333333333</v>
      </c>
      <c r="R46" s="204" t="s">
        <v>251</v>
      </c>
      <c r="S46" s="329"/>
      <c r="U46" s="121"/>
      <c r="V46" s="172"/>
    </row>
    <row r="47" spans="2:22" s="172" customFormat="1" ht="21" customHeight="1" thickBot="1" x14ac:dyDescent="0.3">
      <c r="B47" s="330"/>
      <c r="C47" s="331"/>
      <c r="D47" s="331"/>
      <c r="E47" s="332"/>
      <c r="F47" s="332"/>
      <c r="G47" s="332"/>
      <c r="H47" s="333" t="s">
        <v>290</v>
      </c>
      <c r="I47" s="281">
        <f>IF(E7=0,0,I46/E7)</f>
        <v>5774.416666666667</v>
      </c>
      <c r="J47" s="323">
        <f>IF((E7-E8)=0,0,J46/(E7-E8))</f>
        <v>0</v>
      </c>
      <c r="K47" s="334">
        <f>IF(E8=0,0,K46/E8)</f>
        <v>5717.8666666666668</v>
      </c>
      <c r="L47" s="271"/>
      <c r="M47" s="271"/>
      <c r="N47" s="271"/>
      <c r="O47" s="271"/>
      <c r="P47" s="271"/>
      <c r="Q47" s="335"/>
      <c r="R47" s="303"/>
      <c r="S47" s="124"/>
      <c r="T47" s="171"/>
      <c r="U47" s="121"/>
    </row>
    <row r="48" spans="2:22" s="172" customFormat="1" ht="12" customHeight="1" thickBot="1" x14ac:dyDescent="0.3">
      <c r="B48" s="320"/>
      <c r="E48" s="322"/>
      <c r="F48" s="322"/>
      <c r="G48" s="322"/>
      <c r="H48" s="125"/>
      <c r="I48" s="281"/>
      <c r="J48" s="281"/>
      <c r="K48" s="336"/>
      <c r="L48" s="271"/>
      <c r="M48" s="271"/>
      <c r="N48" s="271"/>
      <c r="O48" s="271"/>
      <c r="P48" s="271"/>
      <c r="Q48" s="335"/>
      <c r="R48" s="303"/>
      <c r="S48" s="124"/>
      <c r="T48" s="171"/>
      <c r="U48" s="120"/>
      <c r="V48" s="120"/>
    </row>
    <row r="49" spans="1:22" s="120" customFormat="1" ht="55.8" thickBot="1" x14ac:dyDescent="0.3">
      <c r="B49" s="337" t="s">
        <v>291</v>
      </c>
      <c r="C49" s="338" t="s">
        <v>292</v>
      </c>
      <c r="D49" s="339"/>
      <c r="E49" s="339"/>
      <c r="F49" s="339"/>
      <c r="G49" s="339"/>
      <c r="H49" s="186" t="s">
        <v>293</v>
      </c>
      <c r="I49" s="185" t="s">
        <v>243</v>
      </c>
      <c r="J49" s="186" t="s">
        <v>244</v>
      </c>
      <c r="K49" s="187" t="s">
        <v>294</v>
      </c>
      <c r="L49" s="340" t="str">
        <f>L13</f>
        <v>Lyon 2</v>
      </c>
      <c r="M49" s="186" t="str">
        <f>M13</f>
        <v>Partenaire 1</v>
      </c>
      <c r="N49" s="186" t="str">
        <f>N13</f>
        <v>Partenaire 2</v>
      </c>
      <c r="O49" s="186" t="str">
        <f>O13</f>
        <v>Partenaire 3</v>
      </c>
      <c r="P49" s="191" t="s">
        <v>151</v>
      </c>
      <c r="Q49" s="341"/>
      <c r="R49" s="193"/>
      <c r="U49" s="124"/>
      <c r="V49" s="124"/>
    </row>
    <row r="50" spans="1:22" s="124" customFormat="1" ht="19.95" customHeight="1" thickBot="1" x14ac:dyDescent="0.3">
      <c r="B50" s="194" t="s">
        <v>295</v>
      </c>
      <c r="C50" s="195"/>
      <c r="D50" s="196"/>
      <c r="E50" s="196"/>
      <c r="F50" s="196"/>
      <c r="G50" s="196"/>
      <c r="H50" s="324"/>
      <c r="I50" s="199">
        <f>SUM(I51:I54)</f>
        <v>12900</v>
      </c>
      <c r="J50" s="200">
        <f>SUM(J51:J54)</f>
        <v>0</v>
      </c>
      <c r="K50" s="201">
        <f>SUM(K51:K54)</f>
        <v>12900</v>
      </c>
      <c r="L50" s="199">
        <f t="shared" ref="L50:P50" si="21">SUM(L51:L54)</f>
        <v>0</v>
      </c>
      <c r="M50" s="198">
        <f t="shared" si="21"/>
        <v>0</v>
      </c>
      <c r="N50" s="198">
        <f t="shared" si="21"/>
        <v>0</v>
      </c>
      <c r="O50" s="199">
        <f t="shared" si="21"/>
        <v>0</v>
      </c>
      <c r="P50" s="201">
        <f t="shared" si="21"/>
        <v>0</v>
      </c>
      <c r="Q50" s="235"/>
      <c r="R50" s="342"/>
    </row>
    <row r="51" spans="1:22" s="124" customFormat="1" ht="16.95" customHeight="1" outlineLevel="2" x14ac:dyDescent="0.25">
      <c r="B51" s="343" t="s">
        <v>296</v>
      </c>
      <c r="C51" s="344" t="s">
        <v>297</v>
      </c>
      <c r="D51" s="345"/>
      <c r="E51" s="345"/>
      <c r="F51" s="345"/>
      <c r="G51" s="346"/>
      <c r="H51" s="217">
        <f>IF(H5="Formation courte",119/2,119)</f>
        <v>119</v>
      </c>
      <c r="I51" s="217">
        <f>H51*E8</f>
        <v>1785</v>
      </c>
      <c r="J51" s="218">
        <f t="shared" ref="J51:J54" si="22">I51-K51</f>
        <v>0</v>
      </c>
      <c r="K51" s="219">
        <f>I51</f>
        <v>1785</v>
      </c>
      <c r="L51" s="347"/>
      <c r="M51" s="348"/>
      <c r="N51" s="348"/>
      <c r="O51" s="349"/>
      <c r="P51" s="221">
        <f>SUM(L51:O51)</f>
        <v>0</v>
      </c>
      <c r="Q51" s="235"/>
      <c r="R51" s="303"/>
      <c r="U51" s="172"/>
      <c r="V51" s="172"/>
    </row>
    <row r="52" spans="1:22" s="172" customFormat="1" ht="18.75" customHeight="1" outlineLevel="2" x14ac:dyDescent="0.25">
      <c r="B52" s="343" t="s">
        <v>298</v>
      </c>
      <c r="C52" s="350" t="s">
        <v>299</v>
      </c>
      <c r="D52" s="351"/>
      <c r="E52" s="351"/>
      <c r="F52" s="351"/>
      <c r="G52" s="352"/>
      <c r="H52" s="217">
        <f>IF(OR(H5="Diplôme Universitaire",H5="Formation courte"),578/500*Enseignements!G6,578)</f>
        <v>578</v>
      </c>
      <c r="I52" s="217">
        <f>H52*$E$7</f>
        <v>8670</v>
      </c>
      <c r="J52" s="218">
        <f>I52-K52</f>
        <v>0</v>
      </c>
      <c r="K52" s="219">
        <f>IF($E$7=0,0,I52/$E$7*$E$8)</f>
        <v>8670</v>
      </c>
      <c r="L52" s="347"/>
      <c r="M52" s="348"/>
      <c r="N52" s="348"/>
      <c r="O52" s="130"/>
      <c r="P52" s="226">
        <f>SUM(L52:O52)</f>
        <v>0</v>
      </c>
      <c r="Q52" s="176"/>
      <c r="R52" s="303"/>
      <c r="S52" s="124"/>
    </row>
    <row r="53" spans="1:22" s="172" customFormat="1" ht="18.75" customHeight="1" outlineLevel="2" x14ac:dyDescent="0.25">
      <c r="B53" s="343" t="s">
        <v>300</v>
      </c>
      <c r="C53" s="167" t="s">
        <v>301</v>
      </c>
      <c r="D53" s="353"/>
      <c r="E53" s="353"/>
      <c r="F53" s="353"/>
      <c r="G53" s="353"/>
      <c r="H53" s="217">
        <f>IF(OR(H5="Diplôme Universitaire",H5="Formation courte"),98/500*Enseignements!G6,98)</f>
        <v>98</v>
      </c>
      <c r="I53" s="217">
        <f t="shared" ref="I53:I58" si="23">H53*$E$7</f>
        <v>1470</v>
      </c>
      <c r="J53" s="218">
        <f t="shared" si="22"/>
        <v>0</v>
      </c>
      <c r="K53" s="219">
        <f t="shared" ref="K53:K58" si="24">IF($E$7=0,0,I53/$E$7*$E$8)</f>
        <v>1470</v>
      </c>
      <c r="L53" s="347"/>
      <c r="M53" s="348"/>
      <c r="N53" s="348"/>
      <c r="O53" s="130"/>
      <c r="P53" s="226">
        <f>SUM(L53:O53)</f>
        <v>0</v>
      </c>
      <c r="Q53" s="176"/>
      <c r="R53" s="303"/>
      <c r="S53" s="124"/>
    </row>
    <row r="54" spans="1:22" s="172" customFormat="1" ht="18.75" customHeight="1" outlineLevel="2" thickBot="1" x14ac:dyDescent="0.3">
      <c r="B54" s="343" t="s">
        <v>302</v>
      </c>
      <c r="C54" s="167" t="s">
        <v>303</v>
      </c>
      <c r="D54" s="353"/>
      <c r="E54" s="353"/>
      <c r="F54" s="353"/>
      <c r="G54" s="353"/>
      <c r="H54" s="217">
        <f>IF(OR(H5="Diplôme Universitaire",H5="Formation courte"),65/500*Enseignements!G6,65)</f>
        <v>65</v>
      </c>
      <c r="I54" s="217">
        <f t="shared" si="23"/>
        <v>975</v>
      </c>
      <c r="J54" s="218">
        <f t="shared" si="22"/>
        <v>0</v>
      </c>
      <c r="K54" s="219">
        <f t="shared" si="24"/>
        <v>975</v>
      </c>
      <c r="L54" s="347"/>
      <c r="M54" s="348"/>
      <c r="N54" s="348"/>
      <c r="O54" s="130"/>
      <c r="P54" s="226">
        <f>SUM(L54:O54)</f>
        <v>0</v>
      </c>
      <c r="Q54" s="176"/>
      <c r="R54" s="303"/>
      <c r="S54" s="124"/>
      <c r="U54" s="124"/>
      <c r="V54" s="124"/>
    </row>
    <row r="55" spans="1:22" s="124" customFormat="1" ht="19.2" customHeight="1" thickBot="1" x14ac:dyDescent="0.3">
      <c r="B55" s="194" t="s">
        <v>304</v>
      </c>
      <c r="C55" s="195"/>
      <c r="D55" s="196"/>
      <c r="E55" s="196"/>
      <c r="F55" s="196"/>
      <c r="G55" s="196"/>
      <c r="H55" s="324"/>
      <c r="I55" s="199">
        <f>SUM(I56:I58)</f>
        <v>11460</v>
      </c>
      <c r="J55" s="200">
        <f>SUM(J56:J58)</f>
        <v>0</v>
      </c>
      <c r="K55" s="201">
        <f>SUM(K56:K58)</f>
        <v>11460</v>
      </c>
      <c r="L55" s="199">
        <f t="shared" ref="L55:P55" si="25">SUM(L56:L58)</f>
        <v>0</v>
      </c>
      <c r="M55" s="198">
        <f t="shared" si="25"/>
        <v>0</v>
      </c>
      <c r="N55" s="198">
        <f t="shared" si="25"/>
        <v>0</v>
      </c>
      <c r="O55" s="199">
        <f t="shared" si="25"/>
        <v>0</v>
      </c>
      <c r="P55" s="201">
        <f t="shared" si="25"/>
        <v>0</v>
      </c>
      <c r="Q55" s="354"/>
      <c r="R55" s="303"/>
    </row>
    <row r="56" spans="1:22" s="124" customFormat="1" ht="16.95" customHeight="1" outlineLevel="1" x14ac:dyDescent="0.25">
      <c r="B56" s="149" t="s">
        <v>305</v>
      </c>
      <c r="C56" s="304" t="s">
        <v>306</v>
      </c>
      <c r="D56" s="305"/>
      <c r="E56" s="305"/>
      <c r="F56" s="305"/>
      <c r="G56" s="305"/>
      <c r="H56" s="217">
        <f>IF(OR(H5="Diplôme Universitaire",H5="Formation courte"),221/500*Enseignements!G6,221)</f>
        <v>221</v>
      </c>
      <c r="I56" s="217">
        <f t="shared" si="23"/>
        <v>3315</v>
      </c>
      <c r="J56" s="218">
        <f t="shared" ref="J56:J58" si="26">I56-K56</f>
        <v>0</v>
      </c>
      <c r="K56" s="219">
        <f t="shared" si="24"/>
        <v>3315</v>
      </c>
      <c r="L56" s="347"/>
      <c r="M56" s="348"/>
      <c r="N56" s="348"/>
      <c r="O56" s="130"/>
      <c r="P56" s="226">
        <f>SUM(L56:O56)</f>
        <v>0</v>
      </c>
      <c r="Q56" s="176"/>
      <c r="R56" s="355"/>
    </row>
    <row r="57" spans="1:22" s="124" customFormat="1" ht="16.95" customHeight="1" outlineLevel="1" x14ac:dyDescent="0.25">
      <c r="B57" s="149" t="s">
        <v>307</v>
      </c>
      <c r="C57" s="304" t="s">
        <v>308</v>
      </c>
      <c r="D57" s="305"/>
      <c r="E57" s="305"/>
      <c r="F57" s="305"/>
      <c r="G57" s="305"/>
      <c r="H57" s="217">
        <f>IF(OR(H5="Diplôme Universitaire",H5="Formation courte"),415/500*Enseignements!G6,415)</f>
        <v>415</v>
      </c>
      <c r="I57" s="217">
        <f t="shared" si="23"/>
        <v>6225</v>
      </c>
      <c r="J57" s="218">
        <f t="shared" si="26"/>
        <v>0</v>
      </c>
      <c r="K57" s="219">
        <f t="shared" si="24"/>
        <v>6225</v>
      </c>
      <c r="L57" s="347"/>
      <c r="M57" s="348"/>
      <c r="N57" s="348"/>
      <c r="O57" s="130"/>
      <c r="P57" s="226">
        <f>SUM(L57:O57)</f>
        <v>0</v>
      </c>
      <c r="Q57" s="176"/>
      <c r="R57" s="303"/>
    </row>
    <row r="58" spans="1:22" s="124" customFormat="1" ht="16.95" customHeight="1" outlineLevel="1" thickBot="1" x14ac:dyDescent="0.3">
      <c r="B58" s="149" t="s">
        <v>309</v>
      </c>
      <c r="C58" s="304" t="s">
        <v>310</v>
      </c>
      <c r="D58" s="305"/>
      <c r="E58" s="305"/>
      <c r="F58" s="305"/>
      <c r="G58" s="305"/>
      <c r="H58" s="217">
        <f>IF(OR(H5="Diplôme Universitaire",H5="Formation courte"),128/500*Enseignements!G6,128)</f>
        <v>128</v>
      </c>
      <c r="I58" s="217">
        <f t="shared" si="23"/>
        <v>1920</v>
      </c>
      <c r="J58" s="218">
        <f t="shared" si="26"/>
        <v>0</v>
      </c>
      <c r="K58" s="219">
        <f t="shared" si="24"/>
        <v>1920</v>
      </c>
      <c r="L58" s="347"/>
      <c r="M58" s="348"/>
      <c r="N58" s="348"/>
      <c r="O58" s="130"/>
      <c r="P58" s="226">
        <f>SUM(L58:O58)</f>
        <v>0</v>
      </c>
      <c r="Q58" s="176"/>
      <c r="R58" s="303"/>
    </row>
    <row r="59" spans="1:22" s="124" customFormat="1" ht="21.6" customHeight="1" thickBot="1" x14ac:dyDescent="0.3">
      <c r="B59" s="194" t="s">
        <v>311</v>
      </c>
      <c r="C59" s="195"/>
      <c r="D59" s="196"/>
      <c r="E59" s="196"/>
      <c r="F59" s="196"/>
      <c r="G59" s="196"/>
      <c r="H59" s="324"/>
      <c r="I59" s="199">
        <f>I50+I55</f>
        <v>24360</v>
      </c>
      <c r="J59" s="200">
        <f>J50+J55</f>
        <v>0</v>
      </c>
      <c r="K59" s="201">
        <f>K50+K55</f>
        <v>24360</v>
      </c>
      <c r="L59" s="199">
        <f t="shared" ref="L59:P59" si="27">L50+L55</f>
        <v>0</v>
      </c>
      <c r="M59" s="198">
        <f t="shared" si="27"/>
        <v>0</v>
      </c>
      <c r="N59" s="198">
        <f t="shared" si="27"/>
        <v>0</v>
      </c>
      <c r="O59" s="199">
        <f t="shared" si="27"/>
        <v>0</v>
      </c>
      <c r="P59" s="201">
        <f t="shared" si="27"/>
        <v>0</v>
      </c>
      <c r="Q59" s="203">
        <f>IF($K$72=0,0,K59/$K$72)</f>
        <v>0.20300000000000001</v>
      </c>
      <c r="R59" s="356" t="s">
        <v>251</v>
      </c>
      <c r="S59" s="357">
        <f>IF((K59+K46)=0,0,K59/(K59+K46))</f>
        <v>0.22119715240447479</v>
      </c>
      <c r="T59" s="204" t="s">
        <v>312</v>
      </c>
      <c r="U59" s="121"/>
    </row>
    <row r="60" spans="1:22" ht="21" customHeight="1" thickBot="1" x14ac:dyDescent="0.3">
      <c r="A60" s="124"/>
      <c r="B60" s="330"/>
      <c r="C60" s="358"/>
      <c r="D60" s="358"/>
      <c r="E60" s="332"/>
      <c r="F60" s="332"/>
      <c r="G60" s="332"/>
      <c r="H60" s="125" t="s">
        <v>313</v>
      </c>
      <c r="I60" s="323">
        <f>IF(E7=0,0,I59/E7)</f>
        <v>1624</v>
      </c>
      <c r="J60" s="323">
        <f>IF((E7-E8)=0,0,J59/(E7-E8))</f>
        <v>0</v>
      </c>
      <c r="K60" s="334">
        <f>IF(E8=0,0,K59/E8)</f>
        <v>1624</v>
      </c>
      <c r="L60" s="271"/>
      <c r="M60" s="271"/>
      <c r="N60" s="271"/>
      <c r="O60" s="271"/>
      <c r="P60" s="271"/>
      <c r="Q60" s="124"/>
      <c r="R60" s="124"/>
      <c r="S60" s="124"/>
      <c r="T60" s="171"/>
      <c r="U60" s="124"/>
      <c r="V60" s="124"/>
    </row>
    <row r="61" spans="1:22" s="124" customFormat="1" ht="13.2" customHeight="1" thickBot="1" x14ac:dyDescent="0.3">
      <c r="B61" s="359"/>
      <c r="C61" s="360"/>
      <c r="D61" s="360"/>
      <c r="E61" s="360"/>
      <c r="F61" s="360"/>
      <c r="G61" s="360"/>
      <c r="H61" s="360"/>
      <c r="I61" s="361"/>
      <c r="J61" s="361"/>
      <c r="K61" s="362"/>
      <c r="L61" s="363"/>
      <c r="M61" s="363"/>
      <c r="N61" s="363"/>
      <c r="O61" s="363"/>
      <c r="P61" s="363"/>
      <c r="Q61" s="364"/>
      <c r="R61" s="120"/>
    </row>
    <row r="62" spans="1:22" s="124" customFormat="1" ht="24.6" customHeight="1" thickBot="1" x14ac:dyDescent="0.3">
      <c r="B62" s="365" t="s">
        <v>314</v>
      </c>
      <c r="C62" s="365"/>
      <c r="D62" s="366"/>
      <c r="E62" s="367"/>
      <c r="F62" s="366"/>
      <c r="G62" s="368"/>
      <c r="H62" s="369"/>
      <c r="I62" s="370">
        <f>I59+I46</f>
        <v>110976.25</v>
      </c>
      <c r="J62" s="370">
        <f>J59+J46</f>
        <v>848.25000000000011</v>
      </c>
      <c r="K62" s="371">
        <f>K59+K46</f>
        <v>110128</v>
      </c>
      <c r="L62" s="370">
        <f t="shared" ref="L62:O62" si="28">L59+L46</f>
        <v>0</v>
      </c>
      <c r="M62" s="370">
        <f t="shared" si="28"/>
        <v>0</v>
      </c>
      <c r="N62" s="370">
        <f t="shared" si="28"/>
        <v>0</v>
      </c>
      <c r="O62" s="370">
        <f t="shared" si="28"/>
        <v>0</v>
      </c>
      <c r="P62" s="371">
        <f>P59+P46</f>
        <v>0</v>
      </c>
      <c r="Q62" s="203">
        <f>IF($K$72=0,0,K62/$K$72)</f>
        <v>0.91773333333333329</v>
      </c>
      <c r="R62" s="204" t="s">
        <v>251</v>
      </c>
      <c r="U62" s="172"/>
      <c r="V62" s="172"/>
    </row>
    <row r="63" spans="1:22" s="172" customFormat="1" ht="18.75" customHeight="1" x14ac:dyDescent="0.25">
      <c r="B63" s="264"/>
      <c r="C63" s="345"/>
      <c r="D63" s="372"/>
      <c r="E63" s="372"/>
      <c r="F63" s="372"/>
      <c r="G63" s="373"/>
      <c r="H63" s="373" t="s">
        <v>315</v>
      </c>
      <c r="I63" s="374">
        <f>IF(E7=0,0,I62/$E$7)</f>
        <v>7398.416666666667</v>
      </c>
      <c r="J63" s="375">
        <f>IF(($E$7-$E$8)=0,0,J62/($E$7-$E$8))</f>
        <v>0</v>
      </c>
      <c r="K63" s="376">
        <f>IF(E8=0,0,K62/$E$8)</f>
        <v>7341.8666666666668</v>
      </c>
      <c r="L63" s="377"/>
      <c r="M63" s="377"/>
      <c r="N63" s="377"/>
      <c r="O63" s="378"/>
      <c r="P63" s="378"/>
      <c r="Q63" s="176"/>
      <c r="R63" s="303"/>
      <c r="S63" s="124"/>
    </row>
    <row r="64" spans="1:22" s="172" customFormat="1" ht="18.600000000000001" customHeight="1" thickBot="1" x14ac:dyDescent="0.3">
      <c r="B64" s="276"/>
      <c r="C64" s="379"/>
      <c r="D64" s="380"/>
      <c r="E64" s="380"/>
      <c r="F64" s="380"/>
      <c r="G64" s="381"/>
      <c r="H64" s="381" t="s">
        <v>316</v>
      </c>
      <c r="I64" s="314">
        <f t="shared" ref="I64:P64" si="29">IF(I33=0,0,I62/I33)</f>
        <v>201.40880217785843</v>
      </c>
      <c r="J64" s="314">
        <f t="shared" si="29"/>
        <v>18.850000000000001</v>
      </c>
      <c r="K64" s="314">
        <f t="shared" si="29"/>
        <v>217.64426877470356</v>
      </c>
      <c r="L64" s="314">
        <f t="shared" si="29"/>
        <v>0</v>
      </c>
      <c r="M64" s="314">
        <f t="shared" si="29"/>
        <v>0</v>
      </c>
      <c r="N64" s="314">
        <f t="shared" si="29"/>
        <v>0</v>
      </c>
      <c r="O64" s="314">
        <f t="shared" si="29"/>
        <v>0</v>
      </c>
      <c r="P64" s="437">
        <f t="shared" si="29"/>
        <v>0</v>
      </c>
      <c r="Q64" s="438"/>
      <c r="R64" s="303"/>
      <c r="S64" s="124"/>
      <c r="U64" s="124"/>
      <c r="V64" s="124"/>
    </row>
    <row r="65" spans="2:24" ht="14.4" thickBot="1" x14ac:dyDescent="0.3">
      <c r="B65" s="382"/>
      <c r="C65" s="382"/>
      <c r="D65" s="382"/>
      <c r="E65" s="382"/>
      <c r="F65" s="124"/>
      <c r="G65" s="124"/>
      <c r="H65" s="124"/>
      <c r="I65" s="124"/>
      <c r="J65" s="124"/>
      <c r="K65" s="124"/>
      <c r="L65" s="124"/>
      <c r="M65" s="124"/>
      <c r="N65" s="124"/>
      <c r="O65" s="124"/>
      <c r="P65" s="124"/>
      <c r="Q65" s="383"/>
      <c r="R65" s="120"/>
      <c r="S65" s="124"/>
      <c r="T65" s="124"/>
      <c r="U65" s="120"/>
      <c r="V65" s="124"/>
      <c r="W65" s="124"/>
      <c r="X65" s="124"/>
    </row>
    <row r="66" spans="2:24" ht="24.6" customHeight="1" thickBot="1" x14ac:dyDescent="0.3">
      <c r="B66" s="496" t="s">
        <v>317</v>
      </c>
      <c r="C66" s="497"/>
      <c r="D66" s="497"/>
      <c r="E66" s="497"/>
      <c r="F66" s="497"/>
      <c r="G66" s="497"/>
      <c r="H66" s="497"/>
      <c r="I66" s="497"/>
      <c r="J66" s="497"/>
      <c r="K66" s="498"/>
      <c r="L66" s="177"/>
      <c r="M66" s="178"/>
      <c r="N66" s="178"/>
      <c r="O66" s="178"/>
      <c r="P66" s="179"/>
      <c r="Q66" s="120"/>
      <c r="R66" s="120"/>
      <c r="S66" s="124"/>
      <c r="T66" s="120"/>
      <c r="U66" s="124"/>
      <c r="V66" s="124"/>
      <c r="W66" s="124"/>
      <c r="X66" s="124"/>
    </row>
    <row r="67" spans="2:24" ht="7.5" customHeight="1" thickBot="1" x14ac:dyDescent="0.3">
      <c r="B67" s="384"/>
      <c r="C67" s="124"/>
      <c r="D67" s="124"/>
      <c r="E67" s="124"/>
      <c r="F67" s="124"/>
      <c r="G67" s="124"/>
      <c r="H67" s="162"/>
      <c r="I67" s="385"/>
      <c r="J67" s="385"/>
      <c r="K67" s="386"/>
      <c r="L67" s="387"/>
      <c r="M67" s="387"/>
      <c r="N67" s="387"/>
      <c r="O67" s="387"/>
      <c r="P67" s="387"/>
      <c r="Q67" s="122"/>
      <c r="R67" s="120"/>
      <c r="S67" s="124"/>
      <c r="T67" s="124"/>
      <c r="U67" s="120"/>
      <c r="V67" s="120"/>
      <c r="W67" s="124"/>
      <c r="X67" s="124"/>
    </row>
    <row r="68" spans="2:24" s="120" customFormat="1" ht="55.8" thickBot="1" x14ac:dyDescent="0.3">
      <c r="B68" s="337" t="s">
        <v>318</v>
      </c>
      <c r="C68" s="338" t="s">
        <v>319</v>
      </c>
      <c r="D68" s="339"/>
      <c r="E68" s="339"/>
      <c r="F68" s="339"/>
      <c r="G68" s="339"/>
      <c r="H68" s="388"/>
      <c r="I68" s="389" t="s">
        <v>243</v>
      </c>
      <c r="J68" s="186" t="s">
        <v>244</v>
      </c>
      <c r="K68" s="187" t="s">
        <v>294</v>
      </c>
      <c r="L68" s="340" t="s">
        <v>246</v>
      </c>
      <c r="M68" s="185" t="s">
        <v>247</v>
      </c>
      <c r="N68" s="185" t="s">
        <v>248</v>
      </c>
      <c r="O68" s="390" t="s">
        <v>249</v>
      </c>
      <c r="P68" s="391" t="s">
        <v>151</v>
      </c>
      <c r="Q68" s="341"/>
      <c r="R68" s="193"/>
      <c r="U68" s="124"/>
      <c r="V68" s="124"/>
    </row>
    <row r="69" spans="2:24" ht="24" customHeight="1" x14ac:dyDescent="0.25">
      <c r="B69" s="292" t="s">
        <v>320</v>
      </c>
      <c r="C69" s="344" t="s">
        <v>321</v>
      </c>
      <c r="D69" s="392"/>
      <c r="E69" s="392"/>
      <c r="F69" s="392"/>
      <c r="G69" s="392"/>
      <c r="H69" s="393"/>
      <c r="I69" s="394">
        <f>J69+K69</f>
        <v>123645</v>
      </c>
      <c r="J69" s="394">
        <f>'Recettes et simulat'!G16</f>
        <v>3645</v>
      </c>
      <c r="K69" s="395">
        <f>'Recettes et simulat'!J28</f>
        <v>120000</v>
      </c>
      <c r="L69" s="298"/>
      <c r="M69" s="299"/>
      <c r="N69" s="396"/>
      <c r="O69" s="396"/>
      <c r="P69" s="301">
        <f>SUM(L69:O69)</f>
        <v>0</v>
      </c>
      <c r="Q69" s="120"/>
      <c r="R69" s="120"/>
      <c r="S69" s="124"/>
      <c r="T69" s="124"/>
      <c r="U69" s="124"/>
      <c r="V69" s="124"/>
      <c r="W69" s="124"/>
      <c r="X69" s="120"/>
    </row>
    <row r="70" spans="2:24" ht="27" customHeight="1" thickBot="1" x14ac:dyDescent="0.3">
      <c r="B70" s="309" t="s">
        <v>322</v>
      </c>
      <c r="C70" s="310" t="s">
        <v>323</v>
      </c>
      <c r="D70" s="397"/>
      <c r="E70" s="397"/>
      <c r="F70" s="397"/>
      <c r="G70" s="397"/>
      <c r="H70" s="398"/>
      <c r="I70" s="399">
        <f>J70+K70</f>
        <v>0</v>
      </c>
      <c r="J70" s="400"/>
      <c r="K70" s="401">
        <f>'Recettes et simulat'!F39</f>
        <v>0</v>
      </c>
      <c r="L70" s="316"/>
      <c r="M70" s="317"/>
      <c r="N70" s="317"/>
      <c r="O70" s="402"/>
      <c r="P70" s="319">
        <f>SUM(L70:O70)</f>
        <v>0</v>
      </c>
      <c r="Q70" s="120"/>
      <c r="R70" s="120"/>
      <c r="S70" s="124"/>
      <c r="T70" s="124"/>
      <c r="U70" s="124"/>
      <c r="V70" s="124"/>
      <c r="W70" s="124"/>
      <c r="X70" s="120"/>
    </row>
    <row r="71" spans="2:24" ht="11.4" customHeight="1" thickBot="1" x14ac:dyDescent="0.3">
      <c r="B71" s="403"/>
      <c r="C71" s="404"/>
      <c r="D71" s="405"/>
      <c r="E71" s="404"/>
      <c r="F71" s="405"/>
      <c r="G71" s="405"/>
      <c r="H71" s="405"/>
      <c r="I71" s="406"/>
      <c r="J71" s="406"/>
      <c r="K71" s="407"/>
      <c r="L71" s="406"/>
      <c r="M71" s="406"/>
      <c r="N71" s="406"/>
      <c r="O71" s="406"/>
      <c r="P71" s="406"/>
      <c r="Q71" s="408"/>
      <c r="R71" s="409"/>
      <c r="S71" s="410"/>
      <c r="T71" s="124"/>
      <c r="U71" s="124"/>
      <c r="V71" s="124"/>
      <c r="W71" s="124"/>
      <c r="X71" s="120"/>
    </row>
    <row r="72" spans="2:24" s="124" customFormat="1" ht="24.6" customHeight="1" thickBot="1" x14ac:dyDescent="0.3">
      <c r="B72" s="365" t="s">
        <v>324</v>
      </c>
      <c r="C72" s="365"/>
      <c r="D72" s="366"/>
      <c r="E72" s="367"/>
      <c r="F72" s="366"/>
      <c r="G72" s="368"/>
      <c r="H72" s="369"/>
      <c r="I72" s="370">
        <f>I69+I70</f>
        <v>123645</v>
      </c>
      <c r="J72" s="370">
        <f>J69+J70</f>
        <v>3645</v>
      </c>
      <c r="K72" s="371">
        <f>K69+K70</f>
        <v>120000</v>
      </c>
      <c r="L72" s="370">
        <f t="shared" ref="L72:O72" si="30">L69+L70</f>
        <v>0</v>
      </c>
      <c r="M72" s="370">
        <f t="shared" si="30"/>
        <v>0</v>
      </c>
      <c r="N72" s="370">
        <f t="shared" si="30"/>
        <v>0</v>
      </c>
      <c r="O72" s="370">
        <f t="shared" si="30"/>
        <v>0</v>
      </c>
      <c r="P72" s="371">
        <f>P69+P70</f>
        <v>0</v>
      </c>
      <c r="U72" s="172"/>
      <c r="V72" s="172"/>
      <c r="X72" s="120"/>
    </row>
    <row r="73" spans="2:24" s="172" customFormat="1" ht="18" customHeight="1" thickBot="1" x14ac:dyDescent="0.3">
      <c r="B73" s="330"/>
      <c r="C73" s="358"/>
      <c r="D73" s="411"/>
      <c r="E73" s="411"/>
      <c r="F73" s="411"/>
      <c r="G73" s="412"/>
      <c r="H73" s="412" t="s">
        <v>325</v>
      </c>
      <c r="I73" s="413"/>
      <c r="J73" s="413"/>
      <c r="K73" s="450">
        <v>8000</v>
      </c>
      <c r="L73" s="377"/>
      <c r="M73" s="377"/>
      <c r="N73" s="377"/>
      <c r="O73" s="378"/>
      <c r="P73" s="378"/>
      <c r="Q73" s="176"/>
      <c r="R73" s="303"/>
      <c r="S73" s="124"/>
    </row>
    <row r="74" spans="2:24" s="124" customFormat="1" ht="14.4" thickBot="1" x14ac:dyDescent="0.3">
      <c r="C74" s="382"/>
      <c r="D74" s="382"/>
      <c r="E74" s="382"/>
      <c r="F74" s="382"/>
      <c r="G74" s="382"/>
      <c r="H74" s="382"/>
      <c r="I74" s="415"/>
      <c r="J74" s="415"/>
      <c r="K74" s="415"/>
      <c r="L74" s="415"/>
      <c r="M74" s="415"/>
      <c r="N74" s="415"/>
      <c r="O74" s="415"/>
      <c r="P74" s="415"/>
      <c r="Q74" s="121"/>
      <c r="R74" s="120"/>
    </row>
    <row r="75" spans="2:24" s="124" customFormat="1" ht="24.6" customHeight="1" thickBot="1" x14ac:dyDescent="0.3">
      <c r="B75" s="365" t="s">
        <v>326</v>
      </c>
      <c r="C75" s="365"/>
      <c r="D75" s="366"/>
      <c r="E75" s="367"/>
      <c r="F75" s="366"/>
      <c r="G75" s="368"/>
      <c r="H75" s="369"/>
      <c r="I75" s="370">
        <f t="shared" ref="I75:P75" si="31">I72-I62</f>
        <v>12668.75</v>
      </c>
      <c r="J75" s="370">
        <f t="shared" si="31"/>
        <v>2796.75</v>
      </c>
      <c r="K75" s="371">
        <f t="shared" si="31"/>
        <v>9872</v>
      </c>
      <c r="L75" s="370">
        <f t="shared" si="31"/>
        <v>0</v>
      </c>
      <c r="M75" s="370">
        <f t="shared" si="31"/>
        <v>0</v>
      </c>
      <c r="N75" s="370">
        <f t="shared" si="31"/>
        <v>0</v>
      </c>
      <c r="O75" s="370">
        <f t="shared" si="31"/>
        <v>0</v>
      </c>
      <c r="P75" s="371">
        <f t="shared" si="31"/>
        <v>0</v>
      </c>
      <c r="Q75" s="203">
        <f>IF($K$72=0,0,K75/$K$72)</f>
        <v>8.2266666666666668E-2</v>
      </c>
      <c r="R75" s="204" t="s">
        <v>251</v>
      </c>
      <c r="U75" s="172"/>
      <c r="V75" s="172"/>
      <c r="X75" s="120"/>
    </row>
    <row r="76" spans="2:24" s="124" customFormat="1" ht="22.95" hidden="1" customHeight="1" thickBot="1" x14ac:dyDescent="0.3">
      <c r="B76" s="365" t="s">
        <v>327</v>
      </c>
      <c r="C76" s="365"/>
      <c r="D76" s="366"/>
      <c r="E76" s="367"/>
      <c r="F76" s="366"/>
      <c r="G76" s="368"/>
      <c r="H76" s="369"/>
      <c r="I76" s="370">
        <f>'Budget détaillé heures comp'!I75</f>
        <v>76790.957090909098</v>
      </c>
      <c r="J76" s="370">
        <f>'Budget détaillé heures comp'!J75</f>
        <v>3645</v>
      </c>
      <c r="K76" s="371">
        <f>'Budget détaillé heures comp'!K75</f>
        <v>73145.957090909098</v>
      </c>
      <c r="L76" s="370"/>
      <c r="M76" s="370"/>
      <c r="N76" s="370"/>
      <c r="O76" s="370"/>
      <c r="P76" s="371"/>
      <c r="Q76" s="203">
        <f>IF($K$72=0,0,K76/$K$72)</f>
        <v>0.60954964242424248</v>
      </c>
      <c r="R76" s="204" t="s">
        <v>251</v>
      </c>
      <c r="U76" s="172"/>
      <c r="V76" s="172"/>
      <c r="X76" s="120"/>
    </row>
    <row r="77" spans="2:24" ht="13.8" x14ac:dyDescent="0.25">
      <c r="B77" s="124"/>
      <c r="C77" s="124"/>
      <c r="D77" s="124"/>
      <c r="E77" s="124"/>
      <c r="F77" s="124"/>
      <c r="G77" s="124"/>
      <c r="H77" s="162"/>
      <c r="I77" s="163"/>
      <c r="J77" s="164"/>
      <c r="K77" s="162"/>
      <c r="L77" s="162"/>
      <c r="M77" s="162"/>
      <c r="N77" s="162"/>
      <c r="O77" s="162"/>
      <c r="P77" s="162"/>
      <c r="Q77" s="120"/>
      <c r="R77" s="120"/>
      <c r="S77" s="124"/>
      <c r="T77" s="124"/>
      <c r="U77" s="124"/>
      <c r="V77" s="124"/>
      <c r="W77" s="124"/>
      <c r="X77" s="124"/>
    </row>
  </sheetData>
  <sheetProtection formatRows="0" autoFilter="0"/>
  <mergeCells count="23">
    <mergeCell ref="B27:F27"/>
    <mergeCell ref="C29:F29"/>
    <mergeCell ref="C30:F30"/>
    <mergeCell ref="B32:F32"/>
    <mergeCell ref="B66:K66"/>
    <mergeCell ref="C26:F26"/>
    <mergeCell ref="H7:K7"/>
    <mergeCell ref="B11:K11"/>
    <mergeCell ref="C13:F13"/>
    <mergeCell ref="C16:F16"/>
    <mergeCell ref="C17:F17"/>
    <mergeCell ref="C18:F18"/>
    <mergeCell ref="C19:F19"/>
    <mergeCell ref="B20:F20"/>
    <mergeCell ref="C23:F23"/>
    <mergeCell ref="C24:F24"/>
    <mergeCell ref="C25:F25"/>
    <mergeCell ref="B2:K2"/>
    <mergeCell ref="L2:P2"/>
    <mergeCell ref="D5:E5"/>
    <mergeCell ref="H5:K5"/>
    <mergeCell ref="D6:E6"/>
    <mergeCell ref="H6:K6"/>
  </mergeCells>
  <printOptions horizontalCentered="1" verticalCentered="1"/>
  <pageMargins left="0.25" right="0.25" top="0.75" bottom="0.75" header="0.3" footer="0.3"/>
  <pageSetup paperSize="8" scale="56"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6"/>
  <sheetViews>
    <sheetView showGridLines="0" showZeros="0" zoomScale="85" zoomScaleNormal="85" zoomScaleSheetLayoutView="70" workbookViewId="0">
      <pane ySplit="9" topLeftCell="A10" activePane="bottomLeft" state="frozen"/>
      <selection pane="bottomLeft" activeCell="U68" sqref="U68"/>
    </sheetView>
  </sheetViews>
  <sheetFormatPr baseColWidth="10" defaultColWidth="11.44140625" defaultRowHeight="13.2" outlineLevelRow="2" outlineLevelCol="1" x14ac:dyDescent="0.25"/>
  <cols>
    <col min="1" max="1" width="1.33203125" customWidth="1"/>
    <col min="2" max="2" width="5.6640625" customWidth="1"/>
    <col min="3" max="3" width="14.6640625" customWidth="1"/>
    <col min="4" max="4" width="16.44140625" customWidth="1"/>
    <col min="5" max="5" width="14.6640625" customWidth="1"/>
    <col min="6" max="6" width="4.6640625" customWidth="1"/>
    <col min="7" max="7" width="10.6640625" customWidth="1"/>
    <col min="8" max="11" width="11" customWidth="1"/>
    <col min="12" max="16" width="11" hidden="1" customWidth="1" outlineLevel="1"/>
    <col min="17" max="17" width="9.33203125" customWidth="1" collapsed="1"/>
    <col min="18" max="18" width="6.88671875" customWidth="1"/>
    <col min="19" max="19" width="6.109375" customWidth="1"/>
    <col min="20" max="20" width="11.33203125" bestFit="1" customWidth="1"/>
    <col min="21" max="21" width="24.5546875" bestFit="1" customWidth="1"/>
  </cols>
  <sheetData>
    <row r="1" spans="1:22" ht="7.2" customHeight="1" thickBot="1" x14ac:dyDescent="0.3">
      <c r="A1" s="124"/>
      <c r="B1" s="124"/>
      <c r="C1" s="124"/>
      <c r="D1" s="124"/>
      <c r="E1" s="124"/>
      <c r="F1" s="124"/>
      <c r="G1" s="124"/>
      <c r="H1" s="162"/>
      <c r="I1" s="163"/>
      <c r="J1" s="164"/>
      <c r="K1" s="162"/>
      <c r="L1" s="162"/>
      <c r="M1" s="162"/>
      <c r="N1" s="162"/>
      <c r="O1" s="162"/>
      <c r="P1" s="162"/>
      <c r="Q1" s="120"/>
      <c r="R1" s="120"/>
      <c r="S1" s="124"/>
      <c r="T1" s="124"/>
      <c r="U1" s="124"/>
      <c r="V1" s="124"/>
    </row>
    <row r="2" spans="1:22" ht="28.2" customHeight="1" thickBot="1" x14ac:dyDescent="0.3">
      <c r="A2" s="124"/>
      <c r="B2" s="496" t="s">
        <v>235</v>
      </c>
      <c r="C2" s="497"/>
      <c r="D2" s="497"/>
      <c r="E2" s="497"/>
      <c r="F2" s="497"/>
      <c r="G2" s="497"/>
      <c r="H2" s="497"/>
      <c r="I2" s="497"/>
      <c r="J2" s="497"/>
      <c r="K2" s="498"/>
      <c r="L2" s="496" t="s">
        <v>236</v>
      </c>
      <c r="M2" s="497"/>
      <c r="N2" s="497"/>
      <c r="O2" s="497"/>
      <c r="P2" s="498"/>
      <c r="Q2" s="120"/>
      <c r="R2" s="120"/>
      <c r="S2" s="124"/>
      <c r="T2" s="124"/>
      <c r="U2" s="124"/>
      <c r="V2" s="124"/>
    </row>
    <row r="3" spans="1:22" ht="6.75" customHeight="1" x14ac:dyDescent="0.25">
      <c r="A3" s="124"/>
      <c r="B3" s="165"/>
      <c r="C3" s="165"/>
      <c r="D3" s="165"/>
      <c r="E3" s="165"/>
      <c r="F3" s="165"/>
      <c r="G3" s="165"/>
      <c r="H3" s="165"/>
      <c r="I3" s="165"/>
      <c r="J3" s="165"/>
      <c r="K3" s="165"/>
      <c r="L3" s="165"/>
      <c r="M3" s="165"/>
      <c r="N3" s="165"/>
      <c r="O3" s="165"/>
      <c r="P3" s="165"/>
      <c r="Q3" s="120"/>
      <c r="R3" s="120"/>
      <c r="S3" s="124"/>
      <c r="T3" s="124"/>
      <c r="U3" s="124"/>
      <c r="V3" s="124"/>
    </row>
    <row r="4" spans="1:22" ht="5.25" customHeight="1" x14ac:dyDescent="0.25">
      <c r="A4" s="124"/>
      <c r="B4" s="124"/>
      <c r="C4" s="124"/>
      <c r="D4" s="124"/>
      <c r="E4" s="124"/>
      <c r="F4" s="162"/>
      <c r="G4" s="162"/>
      <c r="H4" s="162"/>
      <c r="I4" s="162"/>
      <c r="J4" s="164"/>
      <c r="K4" s="162"/>
      <c r="L4" s="162"/>
      <c r="M4" s="162"/>
      <c r="N4" s="162"/>
      <c r="O4" s="162"/>
      <c r="P4" s="162"/>
      <c r="Q4" s="120"/>
      <c r="R4" s="120"/>
      <c r="S4" s="124"/>
      <c r="T4" s="124"/>
      <c r="U4" s="124"/>
      <c r="V4" s="124"/>
    </row>
    <row r="5" spans="1:22" ht="22.2" customHeight="1" x14ac:dyDescent="0.25">
      <c r="A5" s="124"/>
      <c r="B5" s="124"/>
      <c r="C5" s="166" t="s">
        <v>126</v>
      </c>
      <c r="D5" s="535" t="str">
        <f>'Recettes et simulat'!D4</f>
        <v>Université Lumière Lyon 2</v>
      </c>
      <c r="E5" s="536"/>
      <c r="F5" s="124"/>
      <c r="G5" s="166" t="s">
        <v>128</v>
      </c>
      <c r="H5" s="535" t="str">
        <f>'Recettes et simulat'!H4</f>
        <v>Master</v>
      </c>
      <c r="I5" s="537"/>
      <c r="J5" s="537"/>
      <c r="K5" s="536"/>
      <c r="L5" s="162"/>
      <c r="M5" s="162"/>
      <c r="N5" s="162"/>
      <c r="O5" s="162"/>
      <c r="P5" s="162"/>
      <c r="Q5" s="120"/>
      <c r="R5" s="120"/>
      <c r="S5" s="124"/>
      <c r="T5" s="124"/>
      <c r="U5" s="128" t="s">
        <v>137</v>
      </c>
      <c r="V5" s="124"/>
    </row>
    <row r="6" spans="1:22" ht="22.2" customHeight="1" x14ac:dyDescent="0.25">
      <c r="A6" s="124"/>
      <c r="B6" s="124"/>
      <c r="C6" s="165" t="s">
        <v>130</v>
      </c>
      <c r="D6" s="535" t="str">
        <f>'Recettes et simulat'!D5</f>
        <v>En cours</v>
      </c>
      <c r="E6" s="536"/>
      <c r="F6" s="124"/>
      <c r="G6" s="166" t="s">
        <v>237</v>
      </c>
      <c r="H6" s="535" t="str">
        <f>'Recettes et simulat'!H5</f>
        <v>GOESS</v>
      </c>
      <c r="I6" s="537"/>
      <c r="J6" s="537"/>
      <c r="K6" s="536"/>
      <c r="L6" s="162"/>
      <c r="M6" s="162"/>
      <c r="N6" s="162"/>
      <c r="O6" s="162"/>
      <c r="P6" s="162"/>
      <c r="Q6" s="120"/>
      <c r="R6" s="120"/>
      <c r="S6" s="124"/>
      <c r="T6" s="124"/>
      <c r="U6" s="124"/>
      <c r="V6" s="124"/>
    </row>
    <row r="7" spans="1:22" ht="22.2" customHeight="1" x14ac:dyDescent="0.25">
      <c r="A7" s="124"/>
      <c r="B7" s="124"/>
      <c r="C7" s="167" t="s">
        <v>134</v>
      </c>
      <c r="D7" s="168"/>
      <c r="E7" s="28">
        <f>'Recettes et simulat'!E6</f>
        <v>15</v>
      </c>
      <c r="F7" s="124"/>
      <c r="G7" s="166" t="s">
        <v>135</v>
      </c>
      <c r="H7" s="535" t="str">
        <f>'Recettes et simulat'!H6</f>
        <v>SEG - Sciences Economiques et de Gestion</v>
      </c>
      <c r="I7" s="537"/>
      <c r="J7" s="537"/>
      <c r="K7" s="536"/>
      <c r="L7" s="162"/>
      <c r="M7" s="162"/>
      <c r="N7" s="162"/>
      <c r="O7" s="162"/>
      <c r="P7" s="162"/>
      <c r="Q7" s="120"/>
      <c r="R7" s="120"/>
      <c r="S7" s="124"/>
      <c r="T7" s="124"/>
      <c r="U7" s="124"/>
      <c r="V7" s="124"/>
    </row>
    <row r="8" spans="1:22" ht="22.2" customHeight="1" x14ac:dyDescent="0.25">
      <c r="A8" s="124"/>
      <c r="B8" s="124"/>
      <c r="C8" s="167" t="s">
        <v>138</v>
      </c>
      <c r="D8" s="168"/>
      <c r="E8" s="28">
        <f>'Recettes et simulat'!E7</f>
        <v>15</v>
      </c>
      <c r="F8" s="124"/>
      <c r="G8" s="129" t="s">
        <v>139</v>
      </c>
      <c r="H8" s="124"/>
      <c r="I8" s="124"/>
      <c r="J8" s="169">
        <f>'Recettes et simulat'!J7</f>
        <v>2021</v>
      </c>
      <c r="K8" s="169">
        <f>'Recettes et simulat'!K7</f>
        <v>2022</v>
      </c>
      <c r="L8" s="124"/>
      <c r="M8" s="124"/>
      <c r="N8" s="124"/>
      <c r="O8" s="124"/>
      <c r="P8" s="124"/>
      <c r="Q8" s="120"/>
      <c r="R8" s="120"/>
      <c r="S8" s="124"/>
      <c r="T8" s="124"/>
      <c r="U8" s="124"/>
      <c r="V8" s="124"/>
    </row>
    <row r="9" spans="1:22" ht="22.2" customHeight="1" x14ac:dyDescent="0.25">
      <c r="A9" s="124"/>
      <c r="B9" s="124"/>
      <c r="C9" s="124"/>
      <c r="D9" s="124"/>
      <c r="E9" s="124"/>
      <c r="F9" s="124"/>
      <c r="G9" s="170"/>
      <c r="H9" s="124"/>
      <c r="I9" s="124"/>
      <c r="J9" s="124"/>
      <c r="K9" s="124"/>
      <c r="L9" s="124"/>
      <c r="M9" s="124"/>
      <c r="N9" s="124"/>
      <c r="O9" s="124"/>
      <c r="P9" s="124"/>
      <c r="Q9" s="120"/>
      <c r="R9" s="120"/>
      <c r="S9" s="124"/>
      <c r="T9" s="124"/>
      <c r="U9" s="171"/>
      <c r="V9" s="171"/>
    </row>
    <row r="10" spans="1:22" s="172" customFormat="1" ht="16.95" customHeight="1" thickBot="1" x14ac:dyDescent="0.3">
      <c r="C10" s="173"/>
      <c r="D10" s="173"/>
      <c r="E10" s="173"/>
      <c r="F10" s="173"/>
      <c r="G10" s="174"/>
      <c r="H10" s="174"/>
      <c r="I10" s="175"/>
      <c r="Q10" s="120"/>
      <c r="R10" s="176"/>
      <c r="S10" s="124"/>
      <c r="T10" s="171"/>
      <c r="U10" s="120"/>
      <c r="V10" s="124"/>
    </row>
    <row r="11" spans="1:22" ht="24.6" customHeight="1" thickBot="1" x14ac:dyDescent="0.3">
      <c r="A11" s="124"/>
      <c r="B11" s="496" t="s">
        <v>238</v>
      </c>
      <c r="C11" s="497"/>
      <c r="D11" s="497"/>
      <c r="E11" s="497"/>
      <c r="F11" s="497"/>
      <c r="G11" s="497"/>
      <c r="H11" s="497"/>
      <c r="I11" s="497"/>
      <c r="J11" s="497"/>
      <c r="K11" s="498"/>
      <c r="L11" s="177"/>
      <c r="M11" s="178"/>
      <c r="N11" s="178"/>
      <c r="O11" s="178"/>
      <c r="P11" s="179"/>
      <c r="Q11" s="120"/>
      <c r="R11" s="120"/>
      <c r="S11" s="124"/>
      <c r="T11" s="120"/>
      <c r="U11" s="120"/>
      <c r="V11" s="120"/>
    </row>
    <row r="12" spans="1:22" s="120" customFormat="1" ht="12.6" customHeight="1" thickBot="1" x14ac:dyDescent="0.3">
      <c r="B12" s="180"/>
      <c r="C12" s="181"/>
      <c r="D12" s="181"/>
      <c r="E12" s="181"/>
      <c r="F12" s="181"/>
      <c r="G12" s="181"/>
      <c r="H12" s="181"/>
      <c r="I12" s="181"/>
      <c r="J12" s="181"/>
      <c r="K12" s="181"/>
      <c r="L12" s="181"/>
      <c r="M12" s="181"/>
      <c r="N12" s="181"/>
      <c r="O12" s="181"/>
      <c r="P12" s="182"/>
      <c r="V12" s="124"/>
    </row>
    <row r="13" spans="1:22" s="124" customFormat="1" ht="69.599999999999994" thickBot="1" x14ac:dyDescent="0.3">
      <c r="B13" s="183" t="s">
        <v>239</v>
      </c>
      <c r="C13" s="541" t="s">
        <v>240</v>
      </c>
      <c r="D13" s="542"/>
      <c r="E13" s="542"/>
      <c r="F13" s="543"/>
      <c r="G13" s="184" t="s">
        <v>241</v>
      </c>
      <c r="H13" s="185" t="s">
        <v>242</v>
      </c>
      <c r="I13" s="185" t="s">
        <v>243</v>
      </c>
      <c r="J13" s="186" t="s">
        <v>244</v>
      </c>
      <c r="K13" s="187" t="s">
        <v>245</v>
      </c>
      <c r="L13" s="188" t="s">
        <v>246</v>
      </c>
      <c r="M13" s="189" t="s">
        <v>247</v>
      </c>
      <c r="N13" s="189" t="s">
        <v>248</v>
      </c>
      <c r="O13" s="190" t="s">
        <v>249</v>
      </c>
      <c r="P13" s="191" t="s">
        <v>151</v>
      </c>
      <c r="Q13" s="192"/>
      <c r="R13" s="193"/>
      <c r="T13" s="120"/>
      <c r="U13" s="120"/>
      <c r="V13" s="172"/>
    </row>
    <row r="14" spans="1:22" s="172" customFormat="1" ht="21.6" customHeight="1" thickBot="1" x14ac:dyDescent="0.3">
      <c r="B14" s="194" t="s">
        <v>250</v>
      </c>
      <c r="C14" s="195"/>
      <c r="D14" s="196"/>
      <c r="E14" s="196"/>
      <c r="F14" s="196"/>
      <c r="G14" s="197">
        <f>G20+G27+G32</f>
        <v>551</v>
      </c>
      <c r="H14" s="198">
        <f>IF(G20+G27+G32=0,0,(I20+I27+I32)/(G20+G27+G32))</f>
        <v>40.824034317769346</v>
      </c>
      <c r="I14" s="199">
        <f>I20+I32+I27</f>
        <v>22494.042909090909</v>
      </c>
      <c r="J14" s="200">
        <f>J20+J32+J27</f>
        <v>0</v>
      </c>
      <c r="K14" s="201">
        <f>K20+K32+K27</f>
        <v>22494.042909090909</v>
      </c>
      <c r="L14" s="202">
        <f>L20+L32+L27</f>
        <v>0</v>
      </c>
      <c r="M14" s="198">
        <f>M20+M32+M27</f>
        <v>0</v>
      </c>
      <c r="N14" s="199">
        <f t="shared" ref="N14:O14" si="0">N20+N32+N27</f>
        <v>0</v>
      </c>
      <c r="O14" s="198">
        <f t="shared" si="0"/>
        <v>0</v>
      </c>
      <c r="P14" s="201">
        <f>P20+P32+P27</f>
        <v>0</v>
      </c>
      <c r="Q14" s="203">
        <f>IF($K$72=0,0,K14/$K$72)</f>
        <v>0.18745035757575756</v>
      </c>
      <c r="R14" s="204" t="s">
        <v>251</v>
      </c>
      <c r="S14" s="124"/>
      <c r="T14" s="120"/>
      <c r="U14" s="120"/>
      <c r="V14" s="124"/>
    </row>
    <row r="15" spans="1:22" s="124" customFormat="1" ht="16.95" customHeight="1" outlineLevel="1" x14ac:dyDescent="0.25">
      <c r="B15" s="205" t="s">
        <v>252</v>
      </c>
      <c r="C15" s="206" t="s">
        <v>253</v>
      </c>
      <c r="D15" s="207"/>
      <c r="E15" s="207"/>
      <c r="F15" s="208"/>
      <c r="G15" s="209"/>
      <c r="H15" s="210"/>
      <c r="I15" s="209"/>
      <c r="J15" s="209"/>
      <c r="K15" s="211"/>
      <c r="L15" s="212"/>
      <c r="M15" s="210"/>
      <c r="N15" s="210"/>
      <c r="O15" s="210"/>
      <c r="P15" s="211"/>
      <c r="Q15" s="213"/>
      <c r="R15" s="214"/>
      <c r="S15" s="214"/>
      <c r="T15" s="214"/>
      <c r="U15" s="140"/>
      <c r="V15" s="172"/>
    </row>
    <row r="16" spans="1:22" s="172" customFormat="1" ht="16.95" customHeight="1" outlineLevel="1" x14ac:dyDescent="0.25">
      <c r="B16" s="215" t="s">
        <v>254</v>
      </c>
      <c r="C16" s="538" t="s">
        <v>79</v>
      </c>
      <c r="D16" s="539"/>
      <c r="E16" s="539"/>
      <c r="F16" s="540"/>
      <c r="G16" s="435">
        <f>'Budget détaillé'!G16</f>
        <v>262</v>
      </c>
      <c r="H16" s="217">
        <v>43.48</v>
      </c>
      <c r="I16" s="218">
        <f>H16*G16</f>
        <v>11391.759999999998</v>
      </c>
      <c r="J16" s="218">
        <f>I16-K16</f>
        <v>0</v>
      </c>
      <c r="K16" s="219">
        <f>IF($E$7=0,0,I16/$E$7*$E$8)</f>
        <v>11391.759999999998</v>
      </c>
      <c r="L16" s="220"/>
      <c r="M16" s="130"/>
      <c r="N16" s="130"/>
      <c r="O16" s="130"/>
      <c r="P16" s="221">
        <f>SUM(L16:O16)</f>
        <v>0</v>
      </c>
      <c r="Q16" s="222">
        <f>IF($I16=0,0,$G16*$J16/$I16)</f>
        <v>0</v>
      </c>
      <c r="R16" s="222">
        <f>IF($I16=0,0,IF($P16=0,0,$G16*$J16/$I16*L16/$P16))</f>
        <v>0</v>
      </c>
      <c r="S16" s="222">
        <f t="shared" ref="S16:U19" si="1">IF($I16=0,0,IF($P16=0,0,$G16*$J16/$I16*M16/$P16))</f>
        <v>0</v>
      </c>
      <c r="T16" s="222">
        <f t="shared" si="1"/>
        <v>0</v>
      </c>
      <c r="U16" s="222">
        <f>IF($I16=0,0,IF($P16=0,0,$G16*$J16/$I16*O16/$P16))</f>
        <v>0</v>
      </c>
      <c r="V16" s="223">
        <f>G16-Q16</f>
        <v>262</v>
      </c>
    </row>
    <row r="17" spans="2:23" s="172" customFormat="1" ht="16.95" customHeight="1" outlineLevel="1" x14ac:dyDescent="0.25">
      <c r="B17" s="215" t="s">
        <v>255</v>
      </c>
      <c r="C17" s="538" t="s">
        <v>80</v>
      </c>
      <c r="D17" s="539"/>
      <c r="E17" s="539"/>
      <c r="F17" s="540"/>
      <c r="G17" s="435">
        <f>'Budget détaillé'!G17</f>
        <v>32</v>
      </c>
      <c r="H17" s="439">
        <f>ROUND(41.41*1.4319,2)</f>
        <v>59.29</v>
      </c>
      <c r="I17" s="225">
        <f>H17*G17</f>
        <v>1897.28</v>
      </c>
      <c r="J17" s="218">
        <f t="shared" ref="J17:J19" si="2">I17-K17</f>
        <v>0</v>
      </c>
      <c r="K17" s="219">
        <f t="shared" ref="K17:K19" si="3">IF($E$7=0,0,I17/$E$7*$E$8)</f>
        <v>1897.28</v>
      </c>
      <c r="L17" s="220"/>
      <c r="M17" s="130"/>
      <c r="N17" s="130"/>
      <c r="O17" s="130"/>
      <c r="P17" s="226">
        <f>SUM(L17:O17)</f>
        <v>0</v>
      </c>
      <c r="Q17" s="222">
        <f>IF($I17=0,0,$G17*$J17/$I17)</f>
        <v>0</v>
      </c>
      <c r="R17" s="222">
        <f t="shared" ref="R17:R19" si="4">IF($I17=0,0,IF($P17=0,0,$G17*$J17/$I17*L17/$P17))</f>
        <v>0</v>
      </c>
      <c r="S17" s="222">
        <f t="shared" si="1"/>
        <v>0</v>
      </c>
      <c r="T17" s="222">
        <f t="shared" si="1"/>
        <v>0</v>
      </c>
      <c r="U17" s="222">
        <f t="shared" si="1"/>
        <v>0</v>
      </c>
      <c r="V17" s="223">
        <f t="shared" ref="V17:V18" si="5">G17-Q17</f>
        <v>32</v>
      </c>
    </row>
    <row r="18" spans="2:23" s="172" customFormat="1" ht="16.95" customHeight="1" outlineLevel="1" x14ac:dyDescent="0.25">
      <c r="B18" s="215" t="s">
        <v>256</v>
      </c>
      <c r="C18" s="538" t="s">
        <v>257</v>
      </c>
      <c r="D18" s="539"/>
      <c r="E18" s="539"/>
      <c r="F18" s="540"/>
      <c r="G18" s="435">
        <f>'Budget détaillé'!G18</f>
        <v>146</v>
      </c>
      <c r="H18" s="217">
        <v>52</v>
      </c>
      <c r="I18" s="225">
        <f>H18*G18</f>
        <v>7592</v>
      </c>
      <c r="J18" s="218">
        <f t="shared" si="2"/>
        <v>0</v>
      </c>
      <c r="K18" s="219">
        <f t="shared" si="3"/>
        <v>7592</v>
      </c>
      <c r="L18" s="220"/>
      <c r="M18" s="130"/>
      <c r="N18" s="130"/>
      <c r="O18" s="130"/>
      <c r="P18" s="226">
        <f>SUM(L18:O18)</f>
        <v>0</v>
      </c>
      <c r="Q18" s="222">
        <f>IF($I18=0,0,$G18*$J18/$I18)</f>
        <v>0</v>
      </c>
      <c r="R18" s="222">
        <f>IF($I18=0,0,IF($P18=0,0,$G18*$J18/$I18*L18/$P18))</f>
        <v>0</v>
      </c>
      <c r="S18" s="222">
        <f t="shared" si="1"/>
        <v>0</v>
      </c>
      <c r="T18" s="222">
        <f t="shared" si="1"/>
        <v>0</v>
      </c>
      <c r="U18" s="222">
        <f t="shared" si="1"/>
        <v>0</v>
      </c>
      <c r="V18" s="223">
        <f t="shared" si="5"/>
        <v>146</v>
      </c>
    </row>
    <row r="19" spans="2:23" s="172" customFormat="1" ht="18.600000000000001" customHeight="1" outlineLevel="1" x14ac:dyDescent="0.25">
      <c r="B19" s="215" t="s">
        <v>258</v>
      </c>
      <c r="C19" s="538" t="s">
        <v>259</v>
      </c>
      <c r="D19" s="539"/>
      <c r="E19" s="539"/>
      <c r="F19" s="540"/>
      <c r="G19" s="435">
        <f>'Budget détaillé'!G19</f>
        <v>0</v>
      </c>
      <c r="H19" s="227">
        <f>'Budget détaillé'!H19</f>
        <v>0</v>
      </c>
      <c r="I19" s="225">
        <f t="shared" ref="I19" si="6">H19*G19</f>
        <v>0</v>
      </c>
      <c r="J19" s="218">
        <f t="shared" si="2"/>
        <v>0</v>
      </c>
      <c r="K19" s="219">
        <f t="shared" si="3"/>
        <v>0</v>
      </c>
      <c r="L19" s="220"/>
      <c r="M19" s="220"/>
      <c r="N19" s="228"/>
      <c r="O19" s="130"/>
      <c r="P19" s="226">
        <f>SUM(L19:O19)</f>
        <v>0</v>
      </c>
      <c r="Q19" s="222">
        <f>IF($I19=0,0,$G19*$J19/$I19)</f>
        <v>0</v>
      </c>
      <c r="R19" s="222">
        <f t="shared" si="4"/>
        <v>0</v>
      </c>
      <c r="S19" s="222">
        <f>IF($I19=0,0,IF($P19=0,0,$G19*$J19/$I19*M19/$P19))</f>
        <v>0</v>
      </c>
      <c r="T19" s="222">
        <f t="shared" si="1"/>
        <v>0</v>
      </c>
      <c r="U19" s="222">
        <f t="shared" si="1"/>
        <v>0</v>
      </c>
      <c r="V19" s="223">
        <f>G19-Q19</f>
        <v>0</v>
      </c>
    </row>
    <row r="20" spans="2:23" s="172" customFormat="1" ht="22.2" customHeight="1" outlineLevel="1" thickBot="1" x14ac:dyDescent="0.3">
      <c r="B20" s="544" t="s">
        <v>260</v>
      </c>
      <c r="C20" s="545"/>
      <c r="D20" s="545"/>
      <c r="E20" s="545"/>
      <c r="F20" s="546"/>
      <c r="G20" s="229">
        <f>SUM(G16:G19)</f>
        <v>440</v>
      </c>
      <c r="H20" s="230">
        <f>IF(G20=0,0,I20/G20)</f>
        <v>47.456909090909093</v>
      </c>
      <c r="I20" s="231">
        <f>SUM(I16:I19)</f>
        <v>20881.04</v>
      </c>
      <c r="J20" s="232">
        <f>SUM(J16:J19)</f>
        <v>0</v>
      </c>
      <c r="K20" s="233">
        <f>SUM(K16:K19)</f>
        <v>20881.04</v>
      </c>
      <c r="L20" s="234">
        <f>SUM(L16:L19)</f>
        <v>0</v>
      </c>
      <c r="M20" s="231">
        <f>SUM(M16:M19)</f>
        <v>0</v>
      </c>
      <c r="N20" s="231">
        <f t="shared" ref="N20:P20" si="7">SUM(N16:N19)</f>
        <v>0</v>
      </c>
      <c r="O20" s="231">
        <f t="shared" si="7"/>
        <v>0</v>
      </c>
      <c r="P20" s="233">
        <f t="shared" si="7"/>
        <v>0</v>
      </c>
      <c r="Q20" s="203">
        <f>IF($K$72=0,0,K20/$K$72)</f>
        <v>0.17400866666666667</v>
      </c>
      <c r="R20" s="204" t="s">
        <v>251</v>
      </c>
      <c r="S20" s="124"/>
      <c r="T20" s="120"/>
      <c r="U20" s="120"/>
      <c r="V20" s="124"/>
    </row>
    <row r="21" spans="2:23" s="124" customFormat="1" ht="16.95" customHeight="1" outlineLevel="1" x14ac:dyDescent="0.25">
      <c r="B21" s="205" t="s">
        <v>5</v>
      </c>
      <c r="C21" s="206" t="s">
        <v>6</v>
      </c>
      <c r="D21" s="207"/>
      <c r="E21" s="207"/>
      <c r="F21" s="208"/>
      <c r="G21" s="209"/>
      <c r="H21" s="210"/>
      <c r="I21" s="209"/>
      <c r="J21" s="209"/>
      <c r="K21" s="211"/>
      <c r="L21" s="212"/>
      <c r="M21" s="210"/>
      <c r="N21" s="210"/>
      <c r="O21" s="210"/>
      <c r="P21" s="211"/>
      <c r="Q21" s="235"/>
      <c r="R21" s="120"/>
      <c r="S21" s="120"/>
      <c r="T21" s="120"/>
      <c r="U21" s="172"/>
      <c r="V21" s="172"/>
    </row>
    <row r="22" spans="2:23" s="172" customFormat="1" ht="16.95" customHeight="1" outlineLevel="1" x14ac:dyDescent="0.25">
      <c r="B22" s="215" t="s">
        <v>7</v>
      </c>
      <c r="C22" s="236" t="s">
        <v>261</v>
      </c>
      <c r="D22" s="237"/>
      <c r="E22" s="237"/>
      <c r="F22" s="238"/>
      <c r="G22" s="216">
        <f>'Budget détaillé'!G22</f>
        <v>0</v>
      </c>
      <c r="H22" s="217">
        <f>IF(G22=0,0,(SUMIF(Enseignements!$F$7:$F$141,Paramétrage!$C$15,Enseignements!T$7:T$141)*$H$16+SUMIF(Enseignements!$F$7:$F$141,Paramétrage!$C$15,Enseignements!U$7:U$141)*$H$17+SUMIF(Enseignements!$F$7:$F$141,Paramétrage!$C$15,Enseignements!V$7:V$141)*$H$18+SUMIF(Enseignements!$F$7:$F$141,Paramétrage!$C$15,Enseignements!W$7:W$141)*$H$19)/G22)</f>
        <v>0</v>
      </c>
      <c r="I22" s="218">
        <f>H22*G22</f>
        <v>0</v>
      </c>
      <c r="J22" s="225">
        <f>I22-K22</f>
        <v>0</v>
      </c>
      <c r="K22" s="219">
        <f t="shared" ref="K22" si="8">IF($E$7=0,0,I22/$E$7*$E$8)</f>
        <v>0</v>
      </c>
      <c r="L22" s="220"/>
      <c r="M22" s="228"/>
      <c r="N22" s="228"/>
      <c r="O22" s="130"/>
      <c r="P22" s="221">
        <f>SUM(L22:O22)</f>
        <v>0</v>
      </c>
      <c r="Q22" s="222">
        <f>IF($I22=0,0,$G22*$J22/$I22)</f>
        <v>0</v>
      </c>
      <c r="R22" s="222">
        <f t="shared" ref="R22:T26" si="9">IF($I22=0,0,IF($P22=0,0,$G22*$J22/$I22*L22/$P22))</f>
        <v>0</v>
      </c>
      <c r="S22" s="222">
        <f t="shared" si="9"/>
        <v>0</v>
      </c>
      <c r="T22" s="222">
        <f>IF($I22=0,0,IF($P22=0,0,$G22*$J22/$I22*N22/$P22))</f>
        <v>0</v>
      </c>
      <c r="U22" s="222">
        <f t="shared" ref="U22:U26" si="10">IF($I22=0,0,IF($P22=0,0,$G22*$J22/$I22*O22/$P22))</f>
        <v>0</v>
      </c>
      <c r="V22" s="222">
        <f t="shared" ref="V22:V30" si="11">G22-Q22</f>
        <v>0</v>
      </c>
      <c r="W22" s="140"/>
    </row>
    <row r="23" spans="2:23" s="172" customFormat="1" ht="16.95" customHeight="1" outlineLevel="1" x14ac:dyDescent="0.25">
      <c r="B23" s="215" t="s">
        <v>12</v>
      </c>
      <c r="C23" s="538" t="s">
        <v>13</v>
      </c>
      <c r="D23" s="539"/>
      <c r="E23" s="539"/>
      <c r="F23" s="540"/>
      <c r="G23" s="216">
        <f>'Budget détaillé'!G23</f>
        <v>30</v>
      </c>
      <c r="H23" s="217">
        <f>IF(G23=0,0,(SUMIF(Enseignements!$F$7:$F$141,Paramétrage!$C$18,Enseignements!T$7:T$141)*$H$16+SUMIF(Enseignements!$F$7:$F$141,Paramétrage!$C$18,Enseignements!U$7:U$141)*$H$17+SUMIF(Enseignements!$F$7:$F$141,Paramétrage!$C$18,Enseignements!V$7:V$141)*$H$18+SUMIF(Enseignements!$F$7:$F$141,Paramétrage!$C$18,Enseignements!W$7:W$141)*$H$19)/G23)</f>
        <v>0</v>
      </c>
      <c r="I23" s="218">
        <f>H23*G23</f>
        <v>0</v>
      </c>
      <c r="J23" s="218">
        <f>I23-K23</f>
        <v>0</v>
      </c>
      <c r="K23" s="219">
        <f>IF($E$7=0,0,I23/$E$7*$E$8)</f>
        <v>0</v>
      </c>
      <c r="L23" s="130"/>
      <c r="M23" s="130"/>
      <c r="N23" s="130"/>
      <c r="O23" s="130"/>
      <c r="P23" s="226">
        <f>SUM(L23:O23)</f>
        <v>0</v>
      </c>
      <c r="Q23" s="222">
        <f>IF($I23=0,0,$G23*$J23/$I23)</f>
        <v>0</v>
      </c>
      <c r="R23" s="222">
        <f t="shared" si="9"/>
        <v>0</v>
      </c>
      <c r="S23" s="222">
        <f t="shared" si="9"/>
        <v>0</v>
      </c>
      <c r="T23" s="222">
        <f t="shared" si="9"/>
        <v>0</v>
      </c>
      <c r="U23" s="222">
        <f t="shared" si="10"/>
        <v>0</v>
      </c>
      <c r="V23" s="222">
        <f t="shared" si="11"/>
        <v>30</v>
      </c>
      <c r="W23" s="140"/>
    </row>
    <row r="24" spans="2:23" s="172" customFormat="1" ht="16.95" customHeight="1" outlineLevel="1" x14ac:dyDescent="0.25">
      <c r="B24" s="215" t="s">
        <v>16</v>
      </c>
      <c r="C24" s="538" t="s">
        <v>262</v>
      </c>
      <c r="D24" s="539"/>
      <c r="E24" s="539"/>
      <c r="F24" s="540"/>
      <c r="G24" s="216">
        <f>'Budget détaillé'!G24</f>
        <v>45</v>
      </c>
      <c r="H24" s="217">
        <f>IF(G24=0,0,(SUMIF(Enseignements!$F$7:$F$141,Paramétrage!$C$19,Enseignements!T$7:T$141)*$H$16+SUMIF(Enseignements!$F$7:$F$141,Paramétrage!$C$19,Enseignements!U$7:U$141)*$H$17+SUMIF(Enseignements!$F$7:$F$141,Paramétrage!$C$19,Enseignements!V$7:V$141)*$H$18+SUMIF(Enseignements!$F$7:$F$141,Paramétrage!$C$19,Enseignements!W$7:W$141)*$H$19)/G24)</f>
        <v>0</v>
      </c>
      <c r="I24" s="218">
        <f>H24*G24</f>
        <v>0</v>
      </c>
      <c r="J24" s="225">
        <f>I24</f>
        <v>0</v>
      </c>
      <c r="K24" s="219">
        <v>0</v>
      </c>
      <c r="L24" s="220"/>
      <c r="M24" s="130"/>
      <c r="N24" s="130"/>
      <c r="O24" s="130"/>
      <c r="P24" s="226">
        <f>SUM(L24:O24)</f>
        <v>0</v>
      </c>
      <c r="Q24" s="222">
        <f>IF($I24=0,0,$G24*$J24/$I24)</f>
        <v>0</v>
      </c>
      <c r="R24" s="222">
        <f t="shared" si="9"/>
        <v>0</v>
      </c>
      <c r="S24" s="222">
        <f t="shared" si="9"/>
        <v>0</v>
      </c>
      <c r="T24" s="222">
        <f t="shared" si="9"/>
        <v>0</v>
      </c>
      <c r="U24" s="222">
        <f t="shared" si="10"/>
        <v>0</v>
      </c>
      <c r="V24" s="222">
        <f t="shared" si="11"/>
        <v>45</v>
      </c>
      <c r="W24" s="140"/>
    </row>
    <row r="25" spans="2:23" s="172" customFormat="1" ht="16.95" customHeight="1" outlineLevel="1" x14ac:dyDescent="0.25">
      <c r="B25" s="215" t="s">
        <v>19</v>
      </c>
      <c r="C25" s="538" t="s">
        <v>20</v>
      </c>
      <c r="D25" s="539"/>
      <c r="E25" s="539"/>
      <c r="F25" s="540"/>
      <c r="G25" s="216">
        <f>'Budget détaillé'!G25</f>
        <v>0</v>
      </c>
      <c r="H25" s="217">
        <f>IF(G25=0,0,(SUMIF(Enseignements!$F$7:$F$141,Paramétrage!$C$12,Enseignements!T$7:T$141)*$H$16+SUMIF(Enseignements!$F$7:$F$141,Paramétrage!$C$12,Enseignements!U$7:U$141)*$H$17+SUMIF(Enseignements!$F$7:$F$141,Paramétrage!$C$12,Enseignements!V$7:V$141)*$H$18+SUMIF(Enseignements!$F$7:$F$141,Paramétrage!$C$12,Enseignements!W$7:W$141)*$H$19)/G25)</f>
        <v>0</v>
      </c>
      <c r="I25" s="218">
        <f>H25*G25</f>
        <v>0</v>
      </c>
      <c r="J25" s="218">
        <f>I25-K25</f>
        <v>0</v>
      </c>
      <c r="K25" s="219">
        <f>I25</f>
        <v>0</v>
      </c>
      <c r="L25" s="220"/>
      <c r="M25" s="228"/>
      <c r="N25" s="228"/>
      <c r="O25" s="130"/>
      <c r="P25" s="226">
        <f>SUM(L25:O25)</f>
        <v>0</v>
      </c>
      <c r="Q25" s="222">
        <f>IF($I25=0,0,$G25*$J25/$I25)</f>
        <v>0</v>
      </c>
      <c r="R25" s="222">
        <f t="shared" si="9"/>
        <v>0</v>
      </c>
      <c r="S25" s="222">
        <f t="shared" si="9"/>
        <v>0</v>
      </c>
      <c r="T25" s="222">
        <f t="shared" si="9"/>
        <v>0</v>
      </c>
      <c r="U25" s="222">
        <f t="shared" si="10"/>
        <v>0</v>
      </c>
      <c r="V25" s="222">
        <f t="shared" si="11"/>
        <v>0</v>
      </c>
      <c r="W25" s="140"/>
    </row>
    <row r="26" spans="2:23" s="172" customFormat="1" ht="16.95" customHeight="1" outlineLevel="1" x14ac:dyDescent="0.25">
      <c r="B26" s="215" t="s">
        <v>22</v>
      </c>
      <c r="C26" s="538" t="s">
        <v>263</v>
      </c>
      <c r="D26" s="539"/>
      <c r="E26" s="539"/>
      <c r="F26" s="540"/>
      <c r="G26" s="216">
        <f>'Budget détaillé'!G26</f>
        <v>0</v>
      </c>
      <c r="H26" s="217">
        <f>IF(G26=0,0,(SUMIF(Enseignements!$F$7:$F$141,Paramétrage!$C$22,Enseignements!T$7:T$141)*$H$16+SUMIF(Enseignements!$F$7:$F$141,Paramétrage!$C$22,Enseignements!U$7:U$141)*$H$17+SUMIF(Enseignements!$F$7:$F$141,Paramétrage!$C$22,Enseignements!V$7:V$141)*$H$18+SUMIF(Enseignements!$F$7:$F$141,Paramétrage!$C$22,Enseignements!W$7:W$141)*$H$19)/G26)+IF(G26=0,0,(SUMIF(Enseignements!$F$7:$F$141,Paramétrage!$C$25,Enseignements!T$7:T$141)*$H$16+SUMIF(Enseignements!$F$7:$F$141,Paramétrage!$C$25,Enseignements!U$7:U$141)*$H$17+SUMIF(Enseignements!$F$7:$F$141,Paramétrage!$C$25,Enseignements!V$7:V$141)*$H$18+SUMIF(Enseignements!$F$7:$F$141,Paramétrage!$C$25,Enseignements!W$7:W$141)*$H$19)/G26)</f>
        <v>0</v>
      </c>
      <c r="I26" s="218">
        <f>H26*G26</f>
        <v>0</v>
      </c>
      <c r="J26" s="218">
        <f>I26-K26</f>
        <v>0</v>
      </c>
      <c r="K26" s="219">
        <f t="shared" ref="K26" si="12">IF($E$7=0,0,I26/$E$7*$E$8)</f>
        <v>0</v>
      </c>
      <c r="L26" s="130"/>
      <c r="M26" s="130"/>
      <c r="N26" s="130"/>
      <c r="O26" s="130"/>
      <c r="P26" s="226">
        <f>SUM(L26:O26)</f>
        <v>0</v>
      </c>
      <c r="Q26" s="222">
        <f>IF($I26=0,0,$G26*$J26/$I26)</f>
        <v>0</v>
      </c>
      <c r="R26" s="222">
        <f t="shared" si="9"/>
        <v>0</v>
      </c>
      <c r="S26" s="222">
        <f t="shared" si="9"/>
        <v>0</v>
      </c>
      <c r="T26" s="222">
        <f t="shared" si="9"/>
        <v>0</v>
      </c>
      <c r="U26" s="222">
        <f t="shared" si="10"/>
        <v>0</v>
      </c>
      <c r="V26" s="222">
        <f t="shared" si="11"/>
        <v>0</v>
      </c>
      <c r="W26" s="140"/>
    </row>
    <row r="27" spans="2:23" s="172" customFormat="1" ht="21.6" customHeight="1" outlineLevel="1" thickBot="1" x14ac:dyDescent="0.3">
      <c r="B27" s="544" t="s">
        <v>264</v>
      </c>
      <c r="C27" s="545"/>
      <c r="D27" s="545"/>
      <c r="E27" s="545"/>
      <c r="F27" s="546"/>
      <c r="G27" s="229">
        <f>SUM(G22:G26)</f>
        <v>75</v>
      </c>
      <c r="H27" s="230">
        <f>IF(G27=0,0,I27/G27)</f>
        <v>0</v>
      </c>
      <c r="I27" s="230">
        <f>SUM(I22:I26)</f>
        <v>0</v>
      </c>
      <c r="J27" s="230">
        <f t="shared" ref="J27:K27" si="13">SUM(J22:J26)</f>
        <v>0</v>
      </c>
      <c r="K27" s="230">
        <f t="shared" si="13"/>
        <v>0</v>
      </c>
      <c r="L27" s="239">
        <f>SUM(L22:L26)</f>
        <v>0</v>
      </c>
      <c r="M27" s="240">
        <f>SUM(M22:M26)</f>
        <v>0</v>
      </c>
      <c r="N27" s="241">
        <f t="shared" ref="N27:O27" si="14">SUM(N22:N26)</f>
        <v>0</v>
      </c>
      <c r="O27" s="231">
        <f t="shared" si="14"/>
        <v>0</v>
      </c>
      <c r="P27" s="233">
        <f t="shared" ref="P27" si="15">SUM(P22:P25)</f>
        <v>0</v>
      </c>
      <c r="Q27" s="203">
        <f>IF($K$72=0,0,K27/$K$72)</f>
        <v>0</v>
      </c>
      <c r="R27" s="204" t="s">
        <v>251</v>
      </c>
      <c r="S27" s="124"/>
      <c r="T27" s="171"/>
    </row>
    <row r="28" spans="2:23" s="172" customFormat="1" ht="16.95" customHeight="1" outlineLevel="1" x14ac:dyDescent="0.25">
      <c r="B28" s="242" t="s">
        <v>25</v>
      </c>
      <c r="C28" s="243" t="s">
        <v>26</v>
      </c>
      <c r="D28" s="170"/>
      <c r="E28" s="170"/>
      <c r="F28" s="244"/>
      <c r="G28" s="245"/>
      <c r="H28" s="246"/>
      <c r="I28" s="245"/>
      <c r="J28" s="245"/>
      <c r="K28" s="247"/>
      <c r="L28" s="248"/>
      <c r="M28" s="249"/>
      <c r="N28" s="249"/>
      <c r="O28" s="249"/>
      <c r="P28" s="250"/>
      <c r="Q28" s="213"/>
      <c r="R28" s="251">
        <f t="shared" ref="R28:U31" si="16">IF($I28=0,0,IF($P28=0,0,$G28*$J28/$I28*L28/$P28))</f>
        <v>0</v>
      </c>
      <c r="S28" s="251">
        <f t="shared" si="16"/>
        <v>0</v>
      </c>
      <c r="T28" s="251">
        <f t="shared" si="16"/>
        <v>0</v>
      </c>
      <c r="U28" s="252">
        <f t="shared" si="16"/>
        <v>0</v>
      </c>
      <c r="V28" s="253"/>
    </row>
    <row r="29" spans="2:23" s="172" customFormat="1" ht="16.95" customHeight="1" outlineLevel="1" x14ac:dyDescent="0.25">
      <c r="B29" s="215" t="s">
        <v>27</v>
      </c>
      <c r="C29" s="538" t="s">
        <v>265</v>
      </c>
      <c r="D29" s="539"/>
      <c r="E29" s="539"/>
      <c r="F29" s="540"/>
      <c r="G29" s="130">
        <f>'Budget détaillé'!G29</f>
        <v>24</v>
      </c>
      <c r="H29" s="217">
        <f>+H16</f>
        <v>43.48</v>
      </c>
      <c r="I29" s="254">
        <f>H29*G29</f>
        <v>1043.52</v>
      </c>
      <c r="J29" s="218">
        <f t="shared" ref="J29:J31" si="17">I29-K29</f>
        <v>0</v>
      </c>
      <c r="K29" s="219">
        <f t="shared" ref="K29:K31" si="18">IF($E$7=0,0,I29/$E$7*$E$8)</f>
        <v>1043.52</v>
      </c>
      <c r="L29" s="255"/>
      <c r="M29" s="130"/>
      <c r="N29" s="130"/>
      <c r="O29" s="130"/>
      <c r="P29" s="226">
        <f>SUM(L29:O29)</f>
        <v>0</v>
      </c>
      <c r="Q29" s="222">
        <f>IF($I29=0,0,$G29*$J29/$I29)</f>
        <v>0</v>
      </c>
      <c r="R29" s="222">
        <f t="shared" si="16"/>
        <v>0</v>
      </c>
      <c r="S29" s="222">
        <f t="shared" si="16"/>
        <v>0</v>
      </c>
      <c r="T29" s="222">
        <f t="shared" si="16"/>
        <v>0</v>
      </c>
      <c r="U29" s="222">
        <f>IF($I29=0,0,IF($P29=0,0,$G29*$J29/$I29*O29/$P29))</f>
        <v>0</v>
      </c>
      <c r="V29" s="223">
        <f t="shared" si="11"/>
        <v>24</v>
      </c>
      <c r="W29" s="256"/>
    </row>
    <row r="30" spans="2:23" s="172" customFormat="1" ht="16.95" customHeight="1" outlineLevel="1" x14ac:dyDescent="0.25">
      <c r="B30" s="215" t="s">
        <v>32</v>
      </c>
      <c r="C30" s="538" t="s">
        <v>33</v>
      </c>
      <c r="D30" s="539"/>
      <c r="E30" s="539"/>
      <c r="F30" s="540"/>
      <c r="G30" s="130">
        <f>'Budget détaillé'!G30</f>
        <v>12</v>
      </c>
      <c r="H30" s="217">
        <f>$H$20</f>
        <v>47.456909090909093</v>
      </c>
      <c r="I30" s="254">
        <f>H30*G30</f>
        <v>569.48290909090906</v>
      </c>
      <c r="J30" s="218">
        <f t="shared" si="17"/>
        <v>0</v>
      </c>
      <c r="K30" s="219">
        <f>I30</f>
        <v>569.48290909090906</v>
      </c>
      <c r="L30" s="255"/>
      <c r="M30" s="220"/>
      <c r="N30" s="130"/>
      <c r="O30" s="130"/>
      <c r="P30" s="226">
        <f>SUM(L30:O30)</f>
        <v>0</v>
      </c>
      <c r="Q30" s="222">
        <f t="shared" ref="Q30:Q31" si="19">IF($I30=0,0,$G30*$J30/$I30)</f>
        <v>0</v>
      </c>
      <c r="R30" s="222">
        <f t="shared" si="16"/>
        <v>0</v>
      </c>
      <c r="S30" s="222">
        <f t="shared" si="16"/>
        <v>0</v>
      </c>
      <c r="T30" s="222">
        <f t="shared" si="16"/>
        <v>0</v>
      </c>
      <c r="U30" s="222">
        <f t="shared" si="16"/>
        <v>0</v>
      </c>
      <c r="V30" s="223">
        <f t="shared" si="11"/>
        <v>12</v>
      </c>
      <c r="W30" s="256"/>
    </row>
    <row r="31" spans="2:23" s="172" customFormat="1" ht="16.95" customHeight="1" outlineLevel="1" x14ac:dyDescent="0.25">
      <c r="B31" s="215" t="s">
        <v>35</v>
      </c>
      <c r="C31" s="257" t="s">
        <v>36</v>
      </c>
      <c r="D31" s="237"/>
      <c r="E31" s="237"/>
      <c r="F31" s="238"/>
      <c r="G31" s="130">
        <f>'Budget détaillé'!G31</f>
        <v>0</v>
      </c>
      <c r="H31" s="217">
        <f>$H$20</f>
        <v>47.456909090909093</v>
      </c>
      <c r="I31" s="259">
        <f>H31*G31</f>
        <v>0</v>
      </c>
      <c r="J31" s="218">
        <f t="shared" si="17"/>
        <v>0</v>
      </c>
      <c r="K31" s="219">
        <f t="shared" si="18"/>
        <v>0</v>
      </c>
      <c r="L31" s="260"/>
      <c r="M31" s="130"/>
      <c r="N31" s="130"/>
      <c r="O31" s="130"/>
      <c r="P31" s="226">
        <f>SUM(L31:O31)</f>
        <v>0</v>
      </c>
      <c r="Q31" s="222">
        <f t="shared" si="19"/>
        <v>0</v>
      </c>
      <c r="R31" s="222">
        <f t="shared" si="16"/>
        <v>0</v>
      </c>
      <c r="S31" s="222">
        <f t="shared" si="16"/>
        <v>0</v>
      </c>
      <c r="T31" s="222">
        <f t="shared" si="16"/>
        <v>0</v>
      </c>
      <c r="U31" s="222">
        <f t="shared" si="16"/>
        <v>0</v>
      </c>
      <c r="V31" s="223">
        <f>G31-Q31</f>
        <v>0</v>
      </c>
      <c r="W31" s="256"/>
    </row>
    <row r="32" spans="2:23" s="172" customFormat="1" ht="21" customHeight="1" outlineLevel="1" thickBot="1" x14ac:dyDescent="0.3">
      <c r="B32" s="547" t="s">
        <v>266</v>
      </c>
      <c r="C32" s="548"/>
      <c r="D32" s="548"/>
      <c r="E32" s="548"/>
      <c r="F32" s="549"/>
      <c r="G32" s="261">
        <f>SUM(G29:G31)</f>
        <v>36</v>
      </c>
      <c r="H32" s="262">
        <f>IF(G32=0,0,I32/G32)</f>
        <v>44.80563636363636</v>
      </c>
      <c r="I32" s="262">
        <f>SUM(I29:I31)</f>
        <v>1613.002909090909</v>
      </c>
      <c r="J32" s="262">
        <f>SUM(J29:J31)</f>
        <v>0</v>
      </c>
      <c r="K32" s="263">
        <f>SUM(K29:K31)</f>
        <v>1613.002909090909</v>
      </c>
      <c r="L32" s="234">
        <f t="shared" ref="L32:M32" si="20">SUM(L29:L31)</f>
        <v>0</v>
      </c>
      <c r="M32" s="231">
        <f t="shared" si="20"/>
        <v>0</v>
      </c>
      <c r="N32" s="231">
        <f>SUM(N29:N31)</f>
        <v>0</v>
      </c>
      <c r="O32" s="231">
        <f>SUM(O29:O31)</f>
        <v>0</v>
      </c>
      <c r="P32" s="233">
        <f t="shared" ref="P32" si="21">SUM(P28:P31)</f>
        <v>0</v>
      </c>
      <c r="Q32" s="203">
        <f>IF($K$72=0,0,K32/$K$72)</f>
        <v>1.3441690909090909E-2</v>
      </c>
      <c r="R32" s="204" t="s">
        <v>251</v>
      </c>
      <c r="S32" s="124"/>
      <c r="T32" s="171"/>
      <c r="U32" s="121"/>
    </row>
    <row r="33" spans="2:22" s="172" customFormat="1" ht="21" customHeight="1" outlineLevel="1" x14ac:dyDescent="0.25">
      <c r="B33" s="264"/>
      <c r="C33" s="265"/>
      <c r="D33" s="266"/>
      <c r="E33" s="267"/>
      <c r="F33" s="267"/>
      <c r="G33" s="267"/>
      <c r="H33" s="268" t="s">
        <v>267</v>
      </c>
      <c r="I33" s="269">
        <f>K33+J33</f>
        <v>551</v>
      </c>
      <c r="J33" s="269">
        <f>SUM(Q16:Q19)+SUM(Q22:Q26)+SUM(Q29:Q31)</f>
        <v>0</v>
      </c>
      <c r="K33" s="270">
        <f>SUM(V16:V19)+SUM(V22:V26)+SUM(V29:V31)</f>
        <v>551</v>
      </c>
      <c r="L33" s="271"/>
      <c r="M33" s="271"/>
      <c r="N33" s="271"/>
      <c r="O33" s="271"/>
      <c r="P33" s="271"/>
      <c r="Q33" s="272"/>
      <c r="R33" s="272"/>
      <c r="S33" s="273"/>
      <c r="T33" s="274"/>
      <c r="U33" s="171"/>
      <c r="V33" s="275"/>
    </row>
    <row r="34" spans="2:22" s="172" customFormat="1" ht="21" customHeight="1" outlineLevel="1" thickBot="1" x14ac:dyDescent="0.3">
      <c r="B34" s="276"/>
      <c r="C34" s="277"/>
      <c r="D34" s="278"/>
      <c r="E34" s="279"/>
      <c r="F34" s="279"/>
      <c r="G34" s="279"/>
      <c r="H34" s="280" t="s">
        <v>268</v>
      </c>
      <c r="I34" s="281">
        <f>IF($E$7=0,0,(I32+I20+I27)/$E$7)</f>
        <v>1499.6028606060606</v>
      </c>
      <c r="J34" s="282">
        <f>IF($E$7-$E$8=0,0,(J32+J20+J27)/($E$7-$E$8))</f>
        <v>0</v>
      </c>
      <c r="K34" s="283">
        <f>IF($E$8=0,0,(K32+K20+K27)/$E$8)</f>
        <v>1499.6028606060606</v>
      </c>
      <c r="L34" s="271"/>
      <c r="M34" s="271"/>
      <c r="N34" s="271"/>
      <c r="O34" s="271"/>
      <c r="P34" s="271"/>
      <c r="Q34" s="272"/>
      <c r="R34" s="272"/>
      <c r="S34" s="273"/>
      <c r="T34" s="274"/>
      <c r="U34" s="171"/>
      <c r="V34" s="275"/>
    </row>
    <row r="35" spans="2:22" s="124" customFormat="1" ht="22.2" customHeight="1" thickBot="1" x14ac:dyDescent="0.3">
      <c r="B35" s="284" t="s">
        <v>269</v>
      </c>
      <c r="C35" s="285"/>
      <c r="D35" s="286"/>
      <c r="E35" s="286"/>
      <c r="F35" s="286"/>
      <c r="G35" s="286"/>
      <c r="H35" s="287"/>
      <c r="I35" s="288">
        <f t="shared" ref="I35:P35" si="22">SUM(I36:I44)</f>
        <v>0</v>
      </c>
      <c r="J35" s="289">
        <f t="shared" si="22"/>
        <v>0</v>
      </c>
      <c r="K35" s="290">
        <f t="shared" si="22"/>
        <v>0</v>
      </c>
      <c r="L35" s="202">
        <f t="shared" si="22"/>
        <v>0</v>
      </c>
      <c r="M35" s="198">
        <f t="shared" si="22"/>
        <v>0</v>
      </c>
      <c r="N35" s="199">
        <f t="shared" si="22"/>
        <v>0</v>
      </c>
      <c r="O35" s="198">
        <f t="shared" si="22"/>
        <v>0</v>
      </c>
      <c r="P35" s="291">
        <f t="shared" si="22"/>
        <v>0</v>
      </c>
      <c r="Q35" s="203">
        <f>IF($K$72=0,0,K35/$K$72)</f>
        <v>0</v>
      </c>
      <c r="R35" s="204" t="s">
        <v>251</v>
      </c>
      <c r="U35" s="172"/>
      <c r="V35" s="172"/>
    </row>
    <row r="36" spans="2:22" s="172" customFormat="1" ht="16.95" customHeight="1" outlineLevel="1" x14ac:dyDescent="0.25">
      <c r="B36" s="292" t="s">
        <v>270</v>
      </c>
      <c r="C36" s="293" t="s">
        <v>271</v>
      </c>
      <c r="D36" s="294"/>
      <c r="E36" s="294"/>
      <c r="F36" s="294"/>
      <c r="G36" s="294"/>
      <c r="H36" s="294"/>
      <c r="I36" s="295">
        <f>'Budget détaillé'!I36</f>
        <v>0</v>
      </c>
      <c r="J36" s="296">
        <f>'Budget détaillé'!J36</f>
        <v>0</v>
      </c>
      <c r="K36" s="297">
        <f>'Budget détaillé'!K36</f>
        <v>0</v>
      </c>
      <c r="L36" s="298"/>
      <c r="M36" s="299"/>
      <c r="N36" s="300"/>
      <c r="O36" s="299"/>
      <c r="P36" s="301">
        <f>SUM(L36:O36)</f>
        <v>0</v>
      </c>
      <c r="Q36" s="302"/>
      <c r="R36" s="303"/>
      <c r="S36" s="124"/>
    </row>
    <row r="37" spans="2:22" s="172" customFormat="1" ht="16.95" customHeight="1" outlineLevel="1" x14ac:dyDescent="0.25">
      <c r="B37" s="149" t="s">
        <v>272</v>
      </c>
      <c r="C37" s="304" t="s">
        <v>273</v>
      </c>
      <c r="D37" s="305"/>
      <c r="E37" s="305"/>
      <c r="F37" s="305"/>
      <c r="G37" s="305"/>
      <c r="H37" s="305"/>
      <c r="I37" s="306">
        <f>'Budget détaillé'!I37</f>
        <v>0</v>
      </c>
      <c r="J37" s="217">
        <f>'Budget détaillé'!J37</f>
        <v>0</v>
      </c>
      <c r="K37" s="307">
        <f>'Budget détaillé'!K37</f>
        <v>0</v>
      </c>
      <c r="L37" s="255"/>
      <c r="M37" s="220"/>
      <c r="N37" s="308"/>
      <c r="O37" s="220"/>
      <c r="P37" s="226">
        <f>SUM(L37:O37)</f>
        <v>0</v>
      </c>
      <c r="Q37" s="302"/>
      <c r="R37" s="303"/>
      <c r="S37" s="124"/>
    </row>
    <row r="38" spans="2:22" s="172" customFormat="1" ht="16.95" customHeight="1" outlineLevel="1" x14ac:dyDescent="0.25">
      <c r="B38" s="149" t="s">
        <v>274</v>
      </c>
      <c r="C38" s="304" t="s">
        <v>275</v>
      </c>
      <c r="D38" s="305"/>
      <c r="E38" s="305"/>
      <c r="F38" s="305"/>
      <c r="G38" s="305"/>
      <c r="H38" s="305"/>
      <c r="I38" s="306">
        <f>'Budget détaillé'!I38</f>
        <v>0</v>
      </c>
      <c r="J38" s="217">
        <f>'Budget détaillé'!J38</f>
        <v>0</v>
      </c>
      <c r="K38" s="307">
        <f>'Budget détaillé'!K38</f>
        <v>0</v>
      </c>
      <c r="L38" s="255"/>
      <c r="M38" s="220"/>
      <c r="N38" s="308"/>
      <c r="O38" s="220"/>
      <c r="P38" s="226">
        <f t="shared" ref="P38:P44" si="23">SUM(L38:O38)</f>
        <v>0</v>
      </c>
      <c r="Q38" s="302"/>
      <c r="R38" s="303"/>
      <c r="S38" s="124"/>
    </row>
    <row r="39" spans="2:22" s="172" customFormat="1" ht="16.95" customHeight="1" outlineLevel="1" x14ac:dyDescent="0.25">
      <c r="B39" s="149" t="s">
        <v>276</v>
      </c>
      <c r="C39" s="304" t="s">
        <v>277</v>
      </c>
      <c r="D39" s="305"/>
      <c r="E39" s="305"/>
      <c r="F39" s="305"/>
      <c r="G39" s="305"/>
      <c r="H39" s="305"/>
      <c r="I39" s="306">
        <f>'Budget détaillé'!I39</f>
        <v>0</v>
      </c>
      <c r="J39" s="217">
        <f>'Budget détaillé'!J39</f>
        <v>0</v>
      </c>
      <c r="K39" s="307">
        <f>'Budget détaillé'!K39</f>
        <v>0</v>
      </c>
      <c r="L39" s="255"/>
      <c r="M39" s="220"/>
      <c r="N39" s="308"/>
      <c r="O39" s="220"/>
      <c r="P39" s="226">
        <f t="shared" si="23"/>
        <v>0</v>
      </c>
      <c r="Q39" s="302"/>
      <c r="R39" s="303"/>
      <c r="S39" s="124"/>
    </row>
    <row r="40" spans="2:22" s="172" customFormat="1" ht="16.95" customHeight="1" outlineLevel="1" x14ac:dyDescent="0.25">
      <c r="B40" s="149" t="s">
        <v>278</v>
      </c>
      <c r="C40" s="304" t="s">
        <v>279</v>
      </c>
      <c r="D40" s="305"/>
      <c r="E40" s="305"/>
      <c r="F40" s="305"/>
      <c r="G40" s="305"/>
      <c r="H40" s="305"/>
      <c r="I40" s="306">
        <f>'Budget détaillé'!I40</f>
        <v>0</v>
      </c>
      <c r="J40" s="217">
        <f>'Budget détaillé'!J40</f>
        <v>0</v>
      </c>
      <c r="K40" s="307">
        <f>'Budget détaillé'!K40</f>
        <v>0</v>
      </c>
      <c r="L40" s="255"/>
      <c r="M40" s="220"/>
      <c r="N40" s="308"/>
      <c r="O40" s="220"/>
      <c r="P40" s="226">
        <f>SUM(L40:O40)</f>
        <v>0</v>
      </c>
      <c r="Q40" s="302"/>
      <c r="R40" s="303"/>
      <c r="S40" s="124"/>
    </row>
    <row r="41" spans="2:22" s="172" customFormat="1" ht="16.95" customHeight="1" outlineLevel="1" x14ac:dyDescent="0.25">
      <c r="B41" s="149" t="s">
        <v>280</v>
      </c>
      <c r="C41" s="304" t="s">
        <v>281</v>
      </c>
      <c r="D41" s="305"/>
      <c r="E41" s="305"/>
      <c r="F41" s="305"/>
      <c r="G41" s="305"/>
      <c r="H41" s="305"/>
      <c r="I41" s="306">
        <f>'Budget détaillé'!I41</f>
        <v>0</v>
      </c>
      <c r="J41" s="217">
        <f>'Budget détaillé'!J41</f>
        <v>0</v>
      </c>
      <c r="K41" s="307">
        <f>'Budget détaillé'!K41</f>
        <v>0</v>
      </c>
      <c r="L41" s="255"/>
      <c r="M41" s="220"/>
      <c r="N41" s="308"/>
      <c r="O41" s="220"/>
      <c r="P41" s="226">
        <f>SUM(L41:O41)</f>
        <v>0</v>
      </c>
      <c r="Q41" s="302"/>
      <c r="R41" s="303"/>
      <c r="S41" s="124"/>
    </row>
    <row r="42" spans="2:22" s="172" customFormat="1" ht="16.95" customHeight="1" outlineLevel="1" x14ac:dyDescent="0.25">
      <c r="B42" s="149" t="s">
        <v>282</v>
      </c>
      <c r="C42" s="304" t="s">
        <v>283</v>
      </c>
      <c r="D42" s="305"/>
      <c r="E42" s="305"/>
      <c r="F42" s="305"/>
      <c r="G42" s="305"/>
      <c r="H42" s="305"/>
      <c r="I42" s="306">
        <f>'Budget détaillé'!I42</f>
        <v>0</v>
      </c>
      <c r="J42" s="217">
        <f>'Budget détaillé'!J42</f>
        <v>0</v>
      </c>
      <c r="K42" s="307">
        <f>'Budget détaillé'!K42</f>
        <v>0</v>
      </c>
      <c r="L42" s="255"/>
      <c r="M42" s="220"/>
      <c r="N42" s="308"/>
      <c r="O42" s="220"/>
      <c r="P42" s="226">
        <f t="shared" si="23"/>
        <v>0</v>
      </c>
      <c r="Q42" s="302"/>
      <c r="R42" s="303"/>
      <c r="S42" s="124"/>
    </row>
    <row r="43" spans="2:22" s="172" customFormat="1" ht="16.95" customHeight="1" outlineLevel="1" x14ac:dyDescent="0.25">
      <c r="B43" s="149" t="s">
        <v>284</v>
      </c>
      <c r="C43" s="304" t="s">
        <v>285</v>
      </c>
      <c r="D43" s="305"/>
      <c r="E43" s="305"/>
      <c r="F43" s="305"/>
      <c r="G43" s="305"/>
      <c r="H43" s="305"/>
      <c r="I43" s="306">
        <f>'Budget détaillé'!I43</f>
        <v>0</v>
      </c>
      <c r="J43" s="217">
        <f>'Budget détaillé'!J43</f>
        <v>0</v>
      </c>
      <c r="K43" s="307">
        <f>'Budget détaillé'!K43</f>
        <v>0</v>
      </c>
      <c r="L43" s="255"/>
      <c r="M43" s="220"/>
      <c r="N43" s="308"/>
      <c r="O43" s="220"/>
      <c r="P43" s="226">
        <f t="shared" si="23"/>
        <v>0</v>
      </c>
      <c r="Q43" s="302"/>
      <c r="R43" s="303"/>
      <c r="S43" s="124"/>
    </row>
    <row r="44" spans="2:22" s="172" customFormat="1" ht="16.95" customHeight="1" outlineLevel="1" thickBot="1" x14ac:dyDescent="0.3">
      <c r="B44" s="309" t="s">
        <v>286</v>
      </c>
      <c r="C44" s="310" t="s">
        <v>287</v>
      </c>
      <c r="D44" s="311"/>
      <c r="E44" s="311"/>
      <c r="F44" s="311"/>
      <c r="G44" s="311"/>
      <c r="H44" s="312"/>
      <c r="I44" s="313">
        <f>'Budget détaillé'!I44</f>
        <v>0</v>
      </c>
      <c r="J44" s="314">
        <f>'Budget détaillé'!J44</f>
        <v>0</v>
      </c>
      <c r="K44" s="315">
        <f>'Budget détaillé'!K44</f>
        <v>0</v>
      </c>
      <c r="L44" s="316"/>
      <c r="M44" s="317"/>
      <c r="N44" s="318"/>
      <c r="O44" s="317"/>
      <c r="P44" s="319">
        <f t="shared" si="23"/>
        <v>0</v>
      </c>
      <c r="Q44" s="302"/>
      <c r="R44" s="303"/>
      <c r="S44" s="124"/>
    </row>
    <row r="45" spans="2:22" s="172" customFormat="1" ht="24.6" customHeight="1" outlineLevel="1" thickBot="1" x14ac:dyDescent="0.3">
      <c r="B45" s="320"/>
      <c r="C45" s="321"/>
      <c r="E45" s="322"/>
      <c r="F45" s="322"/>
      <c r="G45" s="322"/>
      <c r="H45" s="125" t="s">
        <v>288</v>
      </c>
      <c r="I45" s="323">
        <f>IF(E7=0,0,I35/$E$7)</f>
        <v>0</v>
      </c>
      <c r="J45" s="323">
        <f>IF(E7-E8=0,0,J35/($E$7-$E$8))</f>
        <v>0</v>
      </c>
      <c r="K45" s="283">
        <f>IF($E$8=0,0,K35/$E$8)</f>
        <v>0</v>
      </c>
      <c r="L45" s="271"/>
      <c r="M45" s="271"/>
      <c r="N45" s="271"/>
      <c r="O45" s="271"/>
      <c r="P45" s="271"/>
      <c r="Q45" s="302"/>
      <c r="R45" s="303"/>
      <c r="S45" s="124"/>
      <c r="U45" s="124"/>
      <c r="V45" s="124"/>
    </row>
    <row r="46" spans="2:22" s="124" customFormat="1" ht="21.6" customHeight="1" thickBot="1" x14ac:dyDescent="0.3">
      <c r="B46" s="194" t="s">
        <v>289</v>
      </c>
      <c r="C46" s="195"/>
      <c r="D46" s="196"/>
      <c r="E46" s="196"/>
      <c r="F46" s="196"/>
      <c r="G46" s="196"/>
      <c r="H46" s="324"/>
      <c r="I46" s="325">
        <f t="shared" ref="I46:P46" si="24">I35+I32+I20+I27</f>
        <v>22494.042909090909</v>
      </c>
      <c r="J46" s="325">
        <f t="shared" si="24"/>
        <v>0</v>
      </c>
      <c r="K46" s="326">
        <f t="shared" si="24"/>
        <v>22494.042909090909</v>
      </c>
      <c r="L46" s="325">
        <f t="shared" si="24"/>
        <v>0</v>
      </c>
      <c r="M46" s="325">
        <f t="shared" si="24"/>
        <v>0</v>
      </c>
      <c r="N46" s="325">
        <f t="shared" si="24"/>
        <v>0</v>
      </c>
      <c r="O46" s="325">
        <f t="shared" si="24"/>
        <v>0</v>
      </c>
      <c r="P46" s="327">
        <f t="shared" si="24"/>
        <v>0</v>
      </c>
      <c r="Q46" s="328">
        <f>IF($K$72=0,0,K46/$K$72)</f>
        <v>0.18745035757575756</v>
      </c>
      <c r="R46" s="204" t="s">
        <v>251</v>
      </c>
      <c r="S46" s="329"/>
      <c r="U46" s="121"/>
      <c r="V46" s="172"/>
    </row>
    <row r="47" spans="2:22" s="172" customFormat="1" ht="21" customHeight="1" thickBot="1" x14ac:dyDescent="0.3">
      <c r="B47" s="330"/>
      <c r="C47" s="331"/>
      <c r="D47" s="331"/>
      <c r="E47" s="332"/>
      <c r="F47" s="332"/>
      <c r="G47" s="332"/>
      <c r="H47" s="333" t="s">
        <v>290</v>
      </c>
      <c r="I47" s="281">
        <f>IF(E7=0,0,I46/E7)</f>
        <v>1499.6028606060606</v>
      </c>
      <c r="J47" s="323">
        <f>IF((E7-E8)=0,0,J46/(E7-E8))</f>
        <v>0</v>
      </c>
      <c r="K47" s="334">
        <f>IF(E8=0,0,K46/E8)</f>
        <v>1499.6028606060606</v>
      </c>
      <c r="L47" s="271"/>
      <c r="M47" s="271"/>
      <c r="N47" s="271"/>
      <c r="O47" s="271"/>
      <c r="P47" s="271"/>
      <c r="Q47" s="335"/>
      <c r="R47" s="303"/>
      <c r="S47" s="124"/>
      <c r="T47" s="171"/>
      <c r="U47" s="121"/>
    </row>
    <row r="48" spans="2:22" s="172" customFormat="1" ht="12" customHeight="1" thickBot="1" x14ac:dyDescent="0.3">
      <c r="B48" s="320"/>
      <c r="E48" s="322"/>
      <c r="F48" s="322"/>
      <c r="G48" s="322"/>
      <c r="H48" s="125"/>
      <c r="I48" s="281"/>
      <c r="J48" s="281"/>
      <c r="K48" s="336"/>
      <c r="L48" s="271"/>
      <c r="M48" s="271"/>
      <c r="N48" s="271"/>
      <c r="O48" s="271"/>
      <c r="P48" s="271"/>
      <c r="Q48" s="335"/>
      <c r="R48" s="303"/>
      <c r="S48" s="124"/>
      <c r="T48" s="171"/>
      <c r="U48" s="120"/>
      <c r="V48" s="120"/>
    </row>
    <row r="49" spans="1:22" s="120" customFormat="1" ht="55.8" thickBot="1" x14ac:dyDescent="0.3">
      <c r="B49" s="337" t="s">
        <v>291</v>
      </c>
      <c r="C49" s="338" t="s">
        <v>292</v>
      </c>
      <c r="D49" s="339"/>
      <c r="E49" s="339"/>
      <c r="F49" s="339"/>
      <c r="G49" s="339"/>
      <c r="H49" s="186" t="s">
        <v>293</v>
      </c>
      <c r="I49" s="185" t="s">
        <v>243</v>
      </c>
      <c r="J49" s="186" t="s">
        <v>244</v>
      </c>
      <c r="K49" s="187" t="s">
        <v>294</v>
      </c>
      <c r="L49" s="340" t="str">
        <f>L13</f>
        <v>Lyon 2</v>
      </c>
      <c r="M49" s="186" t="str">
        <f>M13</f>
        <v>Partenaire 1</v>
      </c>
      <c r="N49" s="186" t="str">
        <f>N13</f>
        <v>Partenaire 2</v>
      </c>
      <c r="O49" s="186" t="str">
        <f>O13</f>
        <v>Partenaire 3</v>
      </c>
      <c r="P49" s="191" t="s">
        <v>151</v>
      </c>
      <c r="Q49" s="341"/>
      <c r="R49" s="193"/>
      <c r="U49" s="124"/>
      <c r="V49" s="124"/>
    </row>
    <row r="50" spans="1:22" s="124" customFormat="1" ht="19.95" customHeight="1" thickBot="1" x14ac:dyDescent="0.3">
      <c r="B50" s="194" t="s">
        <v>295</v>
      </c>
      <c r="C50" s="195"/>
      <c r="D50" s="196"/>
      <c r="E50" s="196"/>
      <c r="F50" s="196"/>
      <c r="G50" s="196"/>
      <c r="H50" s="324"/>
      <c r="I50" s="199">
        <f>SUM(I51:I54)</f>
        <v>12900</v>
      </c>
      <c r="J50" s="200">
        <f>SUM(J51:J54)</f>
        <v>0</v>
      </c>
      <c r="K50" s="201">
        <f>SUM(K51:K54)</f>
        <v>12900</v>
      </c>
      <c r="L50" s="199">
        <f t="shared" ref="L50:P50" si="25">SUM(L51:L54)</f>
        <v>0</v>
      </c>
      <c r="M50" s="198">
        <f t="shared" si="25"/>
        <v>0</v>
      </c>
      <c r="N50" s="198">
        <f t="shared" si="25"/>
        <v>0</v>
      </c>
      <c r="O50" s="199">
        <f t="shared" si="25"/>
        <v>0</v>
      </c>
      <c r="P50" s="201">
        <f t="shared" si="25"/>
        <v>0</v>
      </c>
      <c r="Q50" s="235"/>
      <c r="R50" s="342"/>
    </row>
    <row r="51" spans="1:22" s="124" customFormat="1" ht="16.95" customHeight="1" outlineLevel="2" x14ac:dyDescent="0.25">
      <c r="B51" s="343" t="s">
        <v>296</v>
      </c>
      <c r="C51" s="344" t="s">
        <v>297</v>
      </c>
      <c r="D51" s="345"/>
      <c r="E51" s="345"/>
      <c r="F51" s="345"/>
      <c r="G51" s="346"/>
      <c r="H51" s="217">
        <f>'Budget détaillé'!H51</f>
        <v>119</v>
      </c>
      <c r="I51" s="217">
        <f>'Budget détaillé'!I51</f>
        <v>1785</v>
      </c>
      <c r="J51" s="218">
        <f>'Budget détaillé'!J51</f>
        <v>0</v>
      </c>
      <c r="K51" s="219">
        <f>'Budget détaillé'!K51</f>
        <v>1785</v>
      </c>
      <c r="L51" s="347"/>
      <c r="M51" s="348"/>
      <c r="N51" s="348"/>
      <c r="O51" s="349"/>
      <c r="P51" s="221">
        <f>SUM(L51:O51)</f>
        <v>0</v>
      </c>
      <c r="Q51" s="235"/>
      <c r="R51" s="303"/>
      <c r="U51" s="172"/>
      <c r="V51" s="172"/>
    </row>
    <row r="52" spans="1:22" s="172" customFormat="1" ht="18.75" customHeight="1" outlineLevel="2" x14ac:dyDescent="0.25">
      <c r="B52" s="343" t="s">
        <v>298</v>
      </c>
      <c r="C52" s="350" t="s">
        <v>299</v>
      </c>
      <c r="D52" s="351"/>
      <c r="E52" s="351"/>
      <c r="F52" s="351"/>
      <c r="G52" s="352"/>
      <c r="H52" s="217">
        <f>'Budget détaillé'!H52</f>
        <v>578</v>
      </c>
      <c r="I52" s="217">
        <f>'Budget détaillé'!I52</f>
        <v>8670</v>
      </c>
      <c r="J52" s="218">
        <f>'Budget détaillé'!J52</f>
        <v>0</v>
      </c>
      <c r="K52" s="219">
        <f>'Budget détaillé'!K52</f>
        <v>8670</v>
      </c>
      <c r="L52" s="347"/>
      <c r="M52" s="348"/>
      <c r="N52" s="348"/>
      <c r="O52" s="130"/>
      <c r="P52" s="226">
        <f>SUM(L52:O52)</f>
        <v>0</v>
      </c>
      <c r="Q52" s="176"/>
      <c r="R52" s="303"/>
      <c r="S52" s="124"/>
    </row>
    <row r="53" spans="1:22" s="172" customFormat="1" ht="18.75" customHeight="1" outlineLevel="2" x14ac:dyDescent="0.25">
      <c r="B53" s="343" t="s">
        <v>300</v>
      </c>
      <c r="C53" s="167" t="s">
        <v>301</v>
      </c>
      <c r="D53" s="353"/>
      <c r="E53" s="353"/>
      <c r="F53" s="353"/>
      <c r="G53" s="353"/>
      <c r="H53" s="217">
        <f>'Budget détaillé'!H53</f>
        <v>98</v>
      </c>
      <c r="I53" s="217">
        <f>'Budget détaillé'!I53</f>
        <v>1470</v>
      </c>
      <c r="J53" s="218">
        <f>'Budget détaillé'!J53</f>
        <v>0</v>
      </c>
      <c r="K53" s="219">
        <f>'Budget détaillé'!K53</f>
        <v>1470</v>
      </c>
      <c r="L53" s="347"/>
      <c r="M53" s="348"/>
      <c r="N53" s="348"/>
      <c r="O53" s="130"/>
      <c r="P53" s="226">
        <f>SUM(L53:O53)</f>
        <v>0</v>
      </c>
      <c r="Q53" s="176"/>
      <c r="R53" s="303"/>
      <c r="S53" s="124"/>
    </row>
    <row r="54" spans="1:22" s="172" customFormat="1" ht="18.75" customHeight="1" outlineLevel="2" thickBot="1" x14ac:dyDescent="0.3">
      <c r="B54" s="343" t="s">
        <v>302</v>
      </c>
      <c r="C54" s="167" t="s">
        <v>303</v>
      </c>
      <c r="D54" s="353"/>
      <c r="E54" s="353"/>
      <c r="F54" s="353"/>
      <c r="G54" s="353"/>
      <c r="H54" s="217">
        <f>'Budget détaillé'!H54</f>
        <v>65</v>
      </c>
      <c r="I54" s="217">
        <f>'Budget détaillé'!I54</f>
        <v>975</v>
      </c>
      <c r="J54" s="218">
        <f>'Budget détaillé'!J54</f>
        <v>0</v>
      </c>
      <c r="K54" s="219">
        <f>'Budget détaillé'!K54</f>
        <v>975</v>
      </c>
      <c r="L54" s="347"/>
      <c r="M54" s="348"/>
      <c r="N54" s="348"/>
      <c r="O54" s="130"/>
      <c r="P54" s="226">
        <f>SUM(L54:O54)</f>
        <v>0</v>
      </c>
      <c r="Q54" s="176"/>
      <c r="R54" s="303"/>
      <c r="S54" s="124"/>
      <c r="U54" s="124"/>
      <c r="V54" s="124"/>
    </row>
    <row r="55" spans="1:22" s="124" customFormat="1" ht="19.2" customHeight="1" thickBot="1" x14ac:dyDescent="0.3">
      <c r="B55" s="194" t="s">
        <v>304</v>
      </c>
      <c r="C55" s="195"/>
      <c r="D55" s="196"/>
      <c r="E55" s="196"/>
      <c r="F55" s="196"/>
      <c r="G55" s="196"/>
      <c r="H55" s="324"/>
      <c r="I55" s="199">
        <f>SUM(I56:I58)</f>
        <v>11460</v>
      </c>
      <c r="J55" s="200">
        <f>SUM(J56:J58)</f>
        <v>0</v>
      </c>
      <c r="K55" s="201">
        <f>SUM(K56:K58)</f>
        <v>11460</v>
      </c>
      <c r="L55" s="199">
        <f t="shared" ref="L55:P55" si="26">SUM(L56:L58)</f>
        <v>0</v>
      </c>
      <c r="M55" s="198">
        <f t="shared" si="26"/>
        <v>0</v>
      </c>
      <c r="N55" s="198">
        <f t="shared" si="26"/>
        <v>0</v>
      </c>
      <c r="O55" s="199">
        <f t="shared" si="26"/>
        <v>0</v>
      </c>
      <c r="P55" s="201">
        <f t="shared" si="26"/>
        <v>0</v>
      </c>
      <c r="Q55" s="354"/>
      <c r="R55" s="303"/>
    </row>
    <row r="56" spans="1:22" s="124" customFormat="1" ht="16.95" customHeight="1" outlineLevel="1" x14ac:dyDescent="0.25">
      <c r="B56" s="149" t="s">
        <v>305</v>
      </c>
      <c r="C56" s="304" t="s">
        <v>306</v>
      </c>
      <c r="D56" s="305"/>
      <c r="E56" s="305"/>
      <c r="F56" s="305"/>
      <c r="G56" s="305"/>
      <c r="H56" s="217">
        <f>'Budget détaillé'!H56</f>
        <v>221</v>
      </c>
      <c r="I56" s="217">
        <f>'Budget détaillé'!I56</f>
        <v>3315</v>
      </c>
      <c r="J56" s="218">
        <f>'Budget détaillé'!J56</f>
        <v>0</v>
      </c>
      <c r="K56" s="219">
        <f>'Budget détaillé'!K56</f>
        <v>3315</v>
      </c>
      <c r="L56" s="347"/>
      <c r="M56" s="348"/>
      <c r="N56" s="348"/>
      <c r="O56" s="130"/>
      <c r="P56" s="226">
        <f>SUM(L56:O56)</f>
        <v>0</v>
      </c>
      <c r="Q56" s="176"/>
      <c r="R56" s="355"/>
    </row>
    <row r="57" spans="1:22" s="124" customFormat="1" ht="16.95" customHeight="1" outlineLevel="1" x14ac:dyDescent="0.25">
      <c r="B57" s="149" t="s">
        <v>307</v>
      </c>
      <c r="C57" s="304" t="s">
        <v>308</v>
      </c>
      <c r="D57" s="305"/>
      <c r="E57" s="305"/>
      <c r="F57" s="305"/>
      <c r="G57" s="305"/>
      <c r="H57" s="217">
        <f>'Budget détaillé'!H57</f>
        <v>415</v>
      </c>
      <c r="I57" s="217">
        <f>'Budget détaillé'!I57</f>
        <v>6225</v>
      </c>
      <c r="J57" s="218">
        <f>'Budget détaillé'!J57</f>
        <v>0</v>
      </c>
      <c r="K57" s="219">
        <f>'Budget détaillé'!K57</f>
        <v>6225</v>
      </c>
      <c r="L57" s="347"/>
      <c r="M57" s="348"/>
      <c r="N57" s="348"/>
      <c r="O57" s="130"/>
      <c r="P57" s="226">
        <f>SUM(L57:O57)</f>
        <v>0</v>
      </c>
      <c r="Q57" s="176"/>
      <c r="R57" s="303"/>
    </row>
    <row r="58" spans="1:22" s="124" customFormat="1" ht="16.95" customHeight="1" outlineLevel="1" thickBot="1" x14ac:dyDescent="0.3">
      <c r="B58" s="149" t="s">
        <v>309</v>
      </c>
      <c r="C58" s="304" t="s">
        <v>310</v>
      </c>
      <c r="D58" s="305"/>
      <c r="E58" s="305"/>
      <c r="F58" s="305"/>
      <c r="G58" s="305"/>
      <c r="H58" s="217">
        <f>'Budget détaillé'!H58</f>
        <v>128</v>
      </c>
      <c r="I58" s="217">
        <f>'Budget détaillé'!I58</f>
        <v>1920</v>
      </c>
      <c r="J58" s="218">
        <f>'Budget détaillé'!J58</f>
        <v>0</v>
      </c>
      <c r="K58" s="219">
        <f>'Budget détaillé'!K58</f>
        <v>1920</v>
      </c>
      <c r="L58" s="347"/>
      <c r="M58" s="348"/>
      <c r="N58" s="348"/>
      <c r="O58" s="130"/>
      <c r="P58" s="226">
        <f>SUM(L58:O58)</f>
        <v>0</v>
      </c>
      <c r="Q58" s="176"/>
      <c r="R58" s="303"/>
    </row>
    <row r="59" spans="1:22" s="124" customFormat="1" ht="21.6" customHeight="1" thickBot="1" x14ac:dyDescent="0.3">
      <c r="B59" s="194" t="s">
        <v>311</v>
      </c>
      <c r="C59" s="195"/>
      <c r="D59" s="196"/>
      <c r="E59" s="196"/>
      <c r="F59" s="196"/>
      <c r="G59" s="196"/>
      <c r="H59" s="324"/>
      <c r="I59" s="199">
        <f>I50+I55</f>
        <v>24360</v>
      </c>
      <c r="J59" s="200">
        <f>J50+J55</f>
        <v>0</v>
      </c>
      <c r="K59" s="201">
        <f>K50+K55</f>
        <v>24360</v>
      </c>
      <c r="L59" s="199">
        <f t="shared" ref="L59:P59" si="27">L50+L55</f>
        <v>0</v>
      </c>
      <c r="M59" s="198">
        <f t="shared" si="27"/>
        <v>0</v>
      </c>
      <c r="N59" s="198">
        <f t="shared" si="27"/>
        <v>0</v>
      </c>
      <c r="O59" s="199">
        <f t="shared" si="27"/>
        <v>0</v>
      </c>
      <c r="P59" s="201">
        <f t="shared" si="27"/>
        <v>0</v>
      </c>
      <c r="Q59" s="203">
        <f>IF($K$72=0,0,K59/$K$72)</f>
        <v>0.20300000000000001</v>
      </c>
      <c r="R59" s="356" t="s">
        <v>251</v>
      </c>
      <c r="S59" s="357">
        <f>IF((K59+K46)=0,0,K59/(K59+K46))</f>
        <v>0.51991244485059207</v>
      </c>
      <c r="T59" s="204" t="s">
        <v>312</v>
      </c>
      <c r="U59" s="121"/>
    </row>
    <row r="60" spans="1:22" ht="21" customHeight="1" thickBot="1" x14ac:dyDescent="0.3">
      <c r="A60" s="124"/>
      <c r="B60" s="330"/>
      <c r="C60" s="358"/>
      <c r="D60" s="358"/>
      <c r="E60" s="332"/>
      <c r="F60" s="332"/>
      <c r="G60" s="332"/>
      <c r="H60" s="125" t="s">
        <v>313</v>
      </c>
      <c r="I60" s="323">
        <f>IF(E7=0,0,I59/E7)</f>
        <v>1624</v>
      </c>
      <c r="J60" s="323">
        <f>IF((E7-E8)=0,0,J59/(E7-E8))</f>
        <v>0</v>
      </c>
      <c r="K60" s="334">
        <f>IF(E8=0,0,K59/E8)</f>
        <v>1624</v>
      </c>
      <c r="L60" s="271"/>
      <c r="M60" s="271"/>
      <c r="N60" s="271"/>
      <c r="O60" s="271"/>
      <c r="P60" s="271"/>
      <c r="Q60" s="124"/>
      <c r="R60" s="124"/>
      <c r="S60" s="124"/>
      <c r="T60" s="171"/>
      <c r="U60" s="124"/>
      <c r="V60" s="124"/>
    </row>
    <row r="61" spans="1:22" s="124" customFormat="1" ht="13.2" customHeight="1" thickBot="1" x14ac:dyDescent="0.3">
      <c r="B61" s="359"/>
      <c r="C61" s="360"/>
      <c r="D61" s="360"/>
      <c r="E61" s="360"/>
      <c r="F61" s="360"/>
      <c r="G61" s="360"/>
      <c r="H61" s="360"/>
      <c r="I61" s="361"/>
      <c r="J61" s="361"/>
      <c r="K61" s="362"/>
      <c r="L61" s="363"/>
      <c r="M61" s="363"/>
      <c r="N61" s="363"/>
      <c r="O61" s="363"/>
      <c r="P61" s="363"/>
      <c r="Q61" s="364"/>
      <c r="R61" s="120"/>
    </row>
    <row r="62" spans="1:22" s="124" customFormat="1" ht="24.6" customHeight="1" thickBot="1" x14ac:dyDescent="0.3">
      <c r="B62" s="365" t="s">
        <v>314</v>
      </c>
      <c r="C62" s="365"/>
      <c r="D62" s="366"/>
      <c r="E62" s="367"/>
      <c r="F62" s="366"/>
      <c r="G62" s="368"/>
      <c r="H62" s="369"/>
      <c r="I62" s="370">
        <f>I59+I46</f>
        <v>46854.042909090909</v>
      </c>
      <c r="J62" s="370">
        <f>J59+J46</f>
        <v>0</v>
      </c>
      <c r="K62" s="371">
        <f>K59+K46</f>
        <v>46854.042909090909</v>
      </c>
      <c r="L62" s="370">
        <f t="shared" ref="L62:O62" si="28">L59+L46</f>
        <v>0</v>
      </c>
      <c r="M62" s="370">
        <f t="shared" si="28"/>
        <v>0</v>
      </c>
      <c r="N62" s="370">
        <f t="shared" si="28"/>
        <v>0</v>
      </c>
      <c r="O62" s="370">
        <f t="shared" si="28"/>
        <v>0</v>
      </c>
      <c r="P62" s="371">
        <f>P59+P46</f>
        <v>0</v>
      </c>
      <c r="Q62" s="203">
        <f>IF($K$72=0,0,K62/$K$72)</f>
        <v>0.39045035757575758</v>
      </c>
      <c r="R62" s="204" t="s">
        <v>251</v>
      </c>
      <c r="U62" s="172"/>
      <c r="V62" s="172"/>
    </row>
    <row r="63" spans="1:22" s="172" customFormat="1" ht="18.75" customHeight="1" x14ac:dyDescent="0.25">
      <c r="B63" s="264"/>
      <c r="C63" s="345"/>
      <c r="D63" s="372"/>
      <c r="E63" s="372"/>
      <c r="F63" s="372"/>
      <c r="G63" s="373"/>
      <c r="H63" s="373" t="s">
        <v>315</v>
      </c>
      <c r="I63" s="374">
        <f>IF(E7=0,0,I62/$E$7)</f>
        <v>3123.6028606060604</v>
      </c>
      <c r="J63" s="375">
        <f>IF(($E$7-$E$8)=0,0,J62/($E$7-$E$8))</f>
        <v>0</v>
      </c>
      <c r="K63" s="376">
        <f>IF(E8=0,0,K62/$E$8)</f>
        <v>3123.6028606060604</v>
      </c>
      <c r="L63" s="377"/>
      <c r="M63" s="377"/>
      <c r="N63" s="377"/>
      <c r="O63" s="378"/>
      <c r="P63" s="378"/>
      <c r="Q63" s="176"/>
      <c r="R63" s="303"/>
      <c r="S63" s="124"/>
    </row>
    <row r="64" spans="1:22" s="172" customFormat="1" ht="18.600000000000001" customHeight="1" thickBot="1" x14ac:dyDescent="0.3">
      <c r="B64" s="276"/>
      <c r="C64" s="379"/>
      <c r="D64" s="380"/>
      <c r="E64" s="380"/>
      <c r="F64" s="380"/>
      <c r="G64" s="381"/>
      <c r="H64" s="381" t="s">
        <v>316</v>
      </c>
      <c r="I64" s="314">
        <f t="shared" ref="I64:P64" si="29">IF(I33=0,0,I62/I33)</f>
        <v>85.034560633558826</v>
      </c>
      <c r="J64" s="314">
        <f t="shared" si="29"/>
        <v>0</v>
      </c>
      <c r="K64" s="314">
        <f t="shared" si="29"/>
        <v>85.034560633558826</v>
      </c>
      <c r="L64" s="314">
        <f t="shared" si="29"/>
        <v>0</v>
      </c>
      <c r="M64" s="314">
        <f t="shared" si="29"/>
        <v>0</v>
      </c>
      <c r="N64" s="314">
        <f t="shared" si="29"/>
        <v>0</v>
      </c>
      <c r="O64" s="314">
        <f t="shared" si="29"/>
        <v>0</v>
      </c>
      <c r="P64" s="437">
        <f t="shared" si="29"/>
        <v>0</v>
      </c>
      <c r="Q64" s="438"/>
      <c r="R64" s="303"/>
      <c r="S64" s="124"/>
      <c r="U64" s="124"/>
      <c r="V64" s="124"/>
    </row>
    <row r="65" spans="2:24" ht="14.4" thickBot="1" x14ac:dyDescent="0.3">
      <c r="B65" s="382"/>
      <c r="C65" s="382"/>
      <c r="D65" s="382"/>
      <c r="E65" s="382"/>
      <c r="F65" s="124"/>
      <c r="G65" s="124"/>
      <c r="H65" s="124"/>
      <c r="I65" s="124"/>
      <c r="J65" s="124"/>
      <c r="K65" s="124"/>
      <c r="L65" s="124"/>
      <c r="M65" s="124"/>
      <c r="N65" s="124"/>
      <c r="O65" s="124"/>
      <c r="P65" s="124"/>
      <c r="Q65" s="383"/>
      <c r="R65" s="120"/>
      <c r="S65" s="124"/>
      <c r="T65" s="124"/>
      <c r="U65" s="120"/>
      <c r="V65" s="124"/>
      <c r="W65" s="124"/>
      <c r="X65" s="124"/>
    </row>
    <row r="66" spans="2:24" ht="24.6" customHeight="1" thickBot="1" x14ac:dyDescent="0.3">
      <c r="B66" s="496" t="s">
        <v>317</v>
      </c>
      <c r="C66" s="497"/>
      <c r="D66" s="497"/>
      <c r="E66" s="497"/>
      <c r="F66" s="497"/>
      <c r="G66" s="497"/>
      <c r="H66" s="497"/>
      <c r="I66" s="497"/>
      <c r="J66" s="497"/>
      <c r="K66" s="498"/>
      <c r="L66" s="177"/>
      <c r="M66" s="178"/>
      <c r="N66" s="178"/>
      <c r="O66" s="178"/>
      <c r="P66" s="179"/>
      <c r="Q66" s="120"/>
      <c r="R66" s="120"/>
      <c r="S66" s="124"/>
      <c r="T66" s="120"/>
      <c r="U66" s="124"/>
      <c r="V66" s="124"/>
      <c r="W66" s="124"/>
      <c r="X66" s="124"/>
    </row>
    <row r="67" spans="2:24" ht="7.5" customHeight="1" thickBot="1" x14ac:dyDescent="0.3">
      <c r="B67" s="384"/>
      <c r="C67" s="124"/>
      <c r="D67" s="124"/>
      <c r="E67" s="124"/>
      <c r="F67" s="124"/>
      <c r="G67" s="124"/>
      <c r="H67" s="162"/>
      <c r="I67" s="385"/>
      <c r="J67" s="385"/>
      <c r="K67" s="386"/>
      <c r="L67" s="387"/>
      <c r="M67" s="387"/>
      <c r="N67" s="387"/>
      <c r="O67" s="387"/>
      <c r="P67" s="387"/>
      <c r="Q67" s="122"/>
      <c r="R67" s="120"/>
      <c r="S67" s="124"/>
      <c r="T67" s="124"/>
      <c r="U67" s="120"/>
      <c r="V67" s="120"/>
      <c r="W67" s="124"/>
      <c r="X67" s="124"/>
    </row>
    <row r="68" spans="2:24" s="120" customFormat="1" ht="55.8" thickBot="1" x14ac:dyDescent="0.3">
      <c r="B68" s="337" t="s">
        <v>318</v>
      </c>
      <c r="C68" s="338" t="s">
        <v>319</v>
      </c>
      <c r="D68" s="339"/>
      <c r="E68" s="339"/>
      <c r="F68" s="339"/>
      <c r="G68" s="339"/>
      <c r="H68" s="388"/>
      <c r="I68" s="389" t="s">
        <v>243</v>
      </c>
      <c r="J68" s="186" t="s">
        <v>244</v>
      </c>
      <c r="K68" s="187" t="s">
        <v>294</v>
      </c>
      <c r="L68" s="340" t="s">
        <v>246</v>
      </c>
      <c r="M68" s="185" t="s">
        <v>247</v>
      </c>
      <c r="N68" s="185" t="s">
        <v>248</v>
      </c>
      <c r="O68" s="390" t="s">
        <v>249</v>
      </c>
      <c r="P68" s="391" t="s">
        <v>151</v>
      </c>
      <c r="Q68" s="341"/>
      <c r="R68" s="193"/>
      <c r="U68" s="124"/>
      <c r="V68" s="124"/>
    </row>
    <row r="69" spans="2:24" ht="24" customHeight="1" x14ac:dyDescent="0.25">
      <c r="B69" s="292" t="s">
        <v>320</v>
      </c>
      <c r="C69" s="344" t="s">
        <v>321</v>
      </c>
      <c r="D69" s="392"/>
      <c r="E69" s="392"/>
      <c r="F69" s="392"/>
      <c r="G69" s="392"/>
      <c r="H69" s="393"/>
      <c r="I69" s="394">
        <f>J69+K69</f>
        <v>123645</v>
      </c>
      <c r="J69" s="394">
        <f>'Recettes et simulat'!G16</f>
        <v>3645</v>
      </c>
      <c r="K69" s="395">
        <f>'Recettes et simulat'!J28</f>
        <v>120000</v>
      </c>
      <c r="L69" s="298"/>
      <c r="M69" s="299"/>
      <c r="N69" s="396"/>
      <c r="O69" s="396"/>
      <c r="P69" s="301">
        <f>SUM(L69:O69)</f>
        <v>0</v>
      </c>
      <c r="Q69" s="120"/>
      <c r="R69" s="120"/>
      <c r="S69" s="124"/>
      <c r="T69" s="124"/>
      <c r="U69" s="124"/>
      <c r="V69" s="124"/>
      <c r="W69" s="124"/>
      <c r="X69" s="120"/>
    </row>
    <row r="70" spans="2:24" ht="27" customHeight="1" thickBot="1" x14ac:dyDescent="0.3">
      <c r="B70" s="309" t="s">
        <v>322</v>
      </c>
      <c r="C70" s="310" t="s">
        <v>323</v>
      </c>
      <c r="D70" s="397"/>
      <c r="E70" s="397"/>
      <c r="F70" s="397"/>
      <c r="G70" s="397"/>
      <c r="H70" s="398"/>
      <c r="I70" s="399">
        <f>J70+K70</f>
        <v>0</v>
      </c>
      <c r="J70" s="400"/>
      <c r="K70" s="401">
        <f>'Recettes et simulat'!F39</f>
        <v>0</v>
      </c>
      <c r="L70" s="316"/>
      <c r="M70" s="317"/>
      <c r="N70" s="317"/>
      <c r="O70" s="402"/>
      <c r="P70" s="319">
        <f>SUM(L70:O70)</f>
        <v>0</v>
      </c>
      <c r="Q70" s="120"/>
      <c r="R70" s="120"/>
      <c r="S70" s="124"/>
      <c r="T70" s="124"/>
      <c r="U70" s="124"/>
      <c r="V70" s="124"/>
      <c r="W70" s="124"/>
      <c r="X70" s="120"/>
    </row>
    <row r="71" spans="2:24" ht="11.4" customHeight="1" thickBot="1" x14ac:dyDescent="0.3">
      <c r="B71" s="403"/>
      <c r="C71" s="404"/>
      <c r="D71" s="405"/>
      <c r="E71" s="404"/>
      <c r="F71" s="405"/>
      <c r="G71" s="405"/>
      <c r="H71" s="405"/>
      <c r="I71" s="406"/>
      <c r="J71" s="406"/>
      <c r="K71" s="407"/>
      <c r="L71" s="406"/>
      <c r="M71" s="406"/>
      <c r="N71" s="406"/>
      <c r="O71" s="406"/>
      <c r="P71" s="406"/>
      <c r="Q71" s="408"/>
      <c r="R71" s="409"/>
      <c r="S71" s="410"/>
      <c r="T71" s="124"/>
      <c r="U71" s="124"/>
      <c r="V71" s="124"/>
      <c r="W71" s="124"/>
      <c r="X71" s="120"/>
    </row>
    <row r="72" spans="2:24" s="124" customFormat="1" ht="24.6" customHeight="1" thickBot="1" x14ac:dyDescent="0.3">
      <c r="B72" s="365" t="s">
        <v>324</v>
      </c>
      <c r="C72" s="365"/>
      <c r="D72" s="366"/>
      <c r="E72" s="367"/>
      <c r="F72" s="366"/>
      <c r="G72" s="368"/>
      <c r="H72" s="369"/>
      <c r="I72" s="370">
        <f>I69+I70</f>
        <v>123645</v>
      </c>
      <c r="J72" s="370">
        <f>J69+J70</f>
        <v>3645</v>
      </c>
      <c r="K72" s="371">
        <f>K69+K70</f>
        <v>120000</v>
      </c>
      <c r="L72" s="370">
        <f t="shared" ref="L72:O72" si="30">L69+L70</f>
        <v>0</v>
      </c>
      <c r="M72" s="370">
        <f t="shared" si="30"/>
        <v>0</v>
      </c>
      <c r="N72" s="370">
        <f t="shared" si="30"/>
        <v>0</v>
      </c>
      <c r="O72" s="370">
        <f t="shared" si="30"/>
        <v>0</v>
      </c>
      <c r="P72" s="371">
        <f>P69+P70</f>
        <v>0</v>
      </c>
      <c r="U72" s="172"/>
      <c r="V72" s="172"/>
      <c r="X72" s="120"/>
    </row>
    <row r="73" spans="2:24" s="172" customFormat="1" ht="18" customHeight="1" thickBot="1" x14ac:dyDescent="0.3">
      <c r="B73" s="330"/>
      <c r="C73" s="358"/>
      <c r="D73" s="411"/>
      <c r="E73" s="411"/>
      <c r="F73" s="411"/>
      <c r="G73" s="412"/>
      <c r="H73" s="412" t="s">
        <v>325</v>
      </c>
      <c r="I73" s="413"/>
      <c r="J73" s="413"/>
      <c r="K73" s="414">
        <f>IF(E8=0,0,K72/$E$8)</f>
        <v>8000</v>
      </c>
      <c r="L73" s="377"/>
      <c r="M73" s="377"/>
      <c r="N73" s="377"/>
      <c r="O73" s="378"/>
      <c r="P73" s="378"/>
      <c r="Q73" s="176"/>
      <c r="R73" s="303"/>
      <c r="S73" s="124"/>
    </row>
    <row r="74" spans="2:24" s="124" customFormat="1" ht="14.4" thickBot="1" x14ac:dyDescent="0.3">
      <c r="C74" s="382"/>
      <c r="D74" s="382"/>
      <c r="E74" s="382"/>
      <c r="F74" s="382"/>
      <c r="G74" s="382"/>
      <c r="H74" s="382"/>
      <c r="I74" s="415"/>
      <c r="J74" s="415"/>
      <c r="K74" s="415"/>
      <c r="L74" s="415"/>
      <c r="M74" s="415"/>
      <c r="N74" s="415"/>
      <c r="O74" s="415"/>
      <c r="P74" s="415"/>
      <c r="Q74" s="121"/>
      <c r="R74" s="120"/>
    </row>
    <row r="75" spans="2:24" s="124" customFormat="1" ht="24.6" customHeight="1" thickBot="1" x14ac:dyDescent="0.3">
      <c r="B75" s="365" t="s">
        <v>326</v>
      </c>
      <c r="C75" s="365"/>
      <c r="D75" s="366"/>
      <c r="E75" s="367"/>
      <c r="F75" s="366"/>
      <c r="G75" s="368"/>
      <c r="H75" s="369"/>
      <c r="I75" s="370">
        <f t="shared" ref="I75:P75" si="31">I72-I62</f>
        <v>76790.957090909098</v>
      </c>
      <c r="J75" s="370">
        <f t="shared" si="31"/>
        <v>3645</v>
      </c>
      <c r="K75" s="371">
        <f t="shared" si="31"/>
        <v>73145.957090909098</v>
      </c>
      <c r="L75" s="370">
        <f t="shared" si="31"/>
        <v>0</v>
      </c>
      <c r="M75" s="370">
        <f t="shared" si="31"/>
        <v>0</v>
      </c>
      <c r="N75" s="370">
        <f t="shared" si="31"/>
        <v>0</v>
      </c>
      <c r="O75" s="370">
        <f t="shared" si="31"/>
        <v>0</v>
      </c>
      <c r="P75" s="371">
        <f t="shared" si="31"/>
        <v>0</v>
      </c>
      <c r="Q75" s="203">
        <f>IF($K$72=0,0,K75/$K$72)</f>
        <v>0.60954964242424248</v>
      </c>
      <c r="R75" s="204" t="s">
        <v>251</v>
      </c>
      <c r="U75" s="172"/>
      <c r="V75" s="172"/>
      <c r="X75" s="120"/>
    </row>
    <row r="76" spans="2:24" ht="13.8" x14ac:dyDescent="0.25">
      <c r="B76" s="124"/>
      <c r="C76" s="124"/>
      <c r="D76" s="124"/>
      <c r="E76" s="124"/>
      <c r="F76" s="124"/>
      <c r="G76" s="124"/>
      <c r="H76" s="162"/>
      <c r="I76" s="163"/>
      <c r="J76" s="164"/>
      <c r="K76" s="162"/>
      <c r="L76" s="162"/>
      <c r="M76" s="162"/>
      <c r="N76" s="162"/>
      <c r="O76" s="162"/>
      <c r="P76" s="162"/>
      <c r="Q76" s="120"/>
      <c r="R76" s="120"/>
      <c r="S76" s="124"/>
      <c r="T76" s="124"/>
      <c r="U76" s="124"/>
      <c r="V76" s="124"/>
      <c r="W76" s="124"/>
      <c r="X76" s="124"/>
    </row>
  </sheetData>
  <sheetProtection algorithmName="SHA-512" hashValue="QTUB2BFRw8w1uPSiB0swY4s5Vm7x2gQKCd7IYx6FkpilTdmNun7sL8ZA6sHwhJ+GrYBIXKLIhLJsLe09apyoqw==" saltValue="uC/oVlt2qinRgTDXjcpg5g==" spinCount="100000" sheet="1" autoFilter="0"/>
  <mergeCells count="23">
    <mergeCell ref="B27:F27"/>
    <mergeCell ref="C29:F29"/>
    <mergeCell ref="C30:F30"/>
    <mergeCell ref="B32:F32"/>
    <mergeCell ref="B66:K66"/>
    <mergeCell ref="C26:F26"/>
    <mergeCell ref="H7:K7"/>
    <mergeCell ref="B11:K11"/>
    <mergeCell ref="C13:F13"/>
    <mergeCell ref="C16:F16"/>
    <mergeCell ref="C17:F17"/>
    <mergeCell ref="C18:F18"/>
    <mergeCell ref="C19:F19"/>
    <mergeCell ref="B20:F20"/>
    <mergeCell ref="C23:F23"/>
    <mergeCell ref="C24:F24"/>
    <mergeCell ref="C25:F25"/>
    <mergeCell ref="B2:K2"/>
    <mergeCell ref="L2:P2"/>
    <mergeCell ref="D5:E5"/>
    <mergeCell ref="H5:K5"/>
    <mergeCell ref="D6:E6"/>
    <mergeCell ref="H6:K6"/>
  </mergeCells>
  <printOptions horizontalCentered="1" verticalCentered="1"/>
  <pageMargins left="0.25" right="0.25" top="0.75" bottom="0.75" header="0.3" footer="0.3"/>
  <pageSetup paperSize="8" scale="56"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8CA1FD0CB9584A8A9C320169AE32EA" ma:contentTypeVersion="4" ma:contentTypeDescription="Crée un document." ma:contentTypeScope="" ma:versionID="02af6109a010d98ac1f721433b5defec">
  <xsd:schema xmlns:xsd="http://www.w3.org/2001/XMLSchema" xmlns:xs="http://www.w3.org/2001/XMLSchema" xmlns:p="http://schemas.microsoft.com/office/2006/metadata/properties" xmlns:ns2="c9aeb6e5-197f-474c-84d2-6b90aa585576" targetNamespace="http://schemas.microsoft.com/office/2006/metadata/properties" ma:root="true" ma:fieldsID="f3c8edf611e996a8825c0a62ce4a38a8" ns2:_="">
    <xsd:import namespace="c9aeb6e5-197f-474c-84d2-6b90aa5855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aeb6e5-197f-474c-84d2-6b90aa585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4E4D3-936A-4F54-9360-AA20BBBAC0E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0343C33-E11B-44A4-A8DB-CEA09C725A3B}">
  <ds:schemaRefs>
    <ds:schemaRef ds:uri="http://schemas.microsoft.com/sharepoint/v3/contenttype/forms"/>
  </ds:schemaRefs>
</ds:datastoreItem>
</file>

<file path=customXml/itemProps3.xml><?xml version="1.0" encoding="utf-8"?>
<ds:datastoreItem xmlns:ds="http://schemas.openxmlformats.org/officeDocument/2006/customXml" ds:itemID="{3890D33C-745F-44EB-89D2-3452FB121B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aeb6e5-197f-474c-84d2-6b90aa5855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Référentiel accompagnement</vt:lpstr>
      <vt:lpstr>Mode opératoire</vt:lpstr>
      <vt:lpstr>Enseignements</vt:lpstr>
      <vt:lpstr>Recettes et simulat</vt:lpstr>
      <vt:lpstr>Paramétrage</vt:lpstr>
      <vt:lpstr>Budget détaillé</vt:lpstr>
      <vt:lpstr>Budget détaillé heures comp</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2022-03-28T09:46:46Z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0x0101007D8CA1FD0CB9584A8A9C320169AE32EA</vt:lpwstr>
  </property>
</Properties>
</file>